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11025"/>
  </bookViews>
  <sheets>
    <sheet name="simple calculator for printing" sheetId="6" r:id="rId1"/>
    <sheet name="calculator" sheetId="4" r:id="rId2"/>
    <sheet name="mineral waters lookup" sheetId="2" r:id="rId3"/>
  </sheets>
  <definedNames>
    <definedName name="_xlnm._FilterDatabase" localSheetId="2" hidden="1">'mineral waters lookup'!$A$1:$U$44</definedName>
    <definedName name="bicarbonate_p" localSheetId="0">'simple calculator for printing'!$D$17</definedName>
    <definedName name="bicarbonate_p">calculator!$R$18</definedName>
    <definedName name="bicarbonate_t" localSheetId="0">'simple calculator for printing'!$S$29</definedName>
    <definedName name="bicarbonate_t">calculator!$S$32</definedName>
    <definedName name="Ca_p" localSheetId="0">'simple calculator for printing'!$D$13</definedName>
    <definedName name="Ca_p">calculator!$R$14</definedName>
    <definedName name="Ca_t" localSheetId="0">'simple calculator for printing'!$S$25</definedName>
    <definedName name="Ca_t">calculator!$S$28</definedName>
    <definedName name="calcium_carbonate" localSheetId="0">'simple calculator for printing'!$D$36</definedName>
    <definedName name="calcium_carbonate">calculator!$L$25</definedName>
    <definedName name="calcium_hydroxide" localSheetId="1">calculator!$L$23</definedName>
    <definedName name="calcium_hydroxide" localSheetId="0">'simple calculator for printing'!$D$34</definedName>
    <definedName name="calcium_nitrate" localSheetId="0">'simple calculator for printing'!$D$30</definedName>
    <definedName name="calcium_nitrate">calculator!$L$19</definedName>
    <definedName name="calcium_sulfate" localSheetId="1">calculator!$L$21</definedName>
    <definedName name="calcium_sulfate" localSheetId="0">'simple calculator for printing'!$D$32</definedName>
    <definedName name="chloride_p" localSheetId="0">'simple calculator for printing'!$D$19</definedName>
    <definedName name="chloride_p">calculator!$R$20</definedName>
    <definedName name="Cl_t" localSheetId="0">'simple calculator for printing'!$S$31</definedName>
    <definedName name="Cl_t">calculator!$S$34</definedName>
    <definedName name="K_p" localSheetId="0">'simple calculator for printing'!$D$16</definedName>
    <definedName name="K_p">calculator!$R$17</definedName>
    <definedName name="K_t" localSheetId="0">'simple calculator for printing'!$S$28</definedName>
    <definedName name="K_t">calculator!$S$31</definedName>
    <definedName name="magnesium_carbonate" localSheetId="0">'simple calculator for printing'!$D$35</definedName>
    <definedName name="magnesium_carbonate">calculator!$L$24</definedName>
    <definedName name="magnesium_chloride" localSheetId="0">'simple calculator for printing'!$D$29</definedName>
    <definedName name="magnesium_chloride">calculator!$L$18</definedName>
    <definedName name="magnesium_hydroxide" localSheetId="1">calculator!$L$22</definedName>
    <definedName name="magnesium_hydroxide" localSheetId="0">'simple calculator for printing'!$D$33</definedName>
    <definedName name="magnesium_sulfate" localSheetId="1">calculator!$L$20</definedName>
    <definedName name="magnesium_sulfate" localSheetId="0">'simple calculator for printing'!$D$31</definedName>
    <definedName name="Mg_p" localSheetId="0">'simple calculator for printing'!$D$14</definedName>
    <definedName name="Mg_p">calculator!$R$15</definedName>
    <definedName name="Mg_t" localSheetId="0">'simple calculator for printing'!$S$26</definedName>
    <definedName name="Mg_t">calculator!$S$29</definedName>
    <definedName name="Na_p" localSheetId="0">'simple calculator for printing'!$D$15</definedName>
    <definedName name="Na_p">calculator!$R$16</definedName>
    <definedName name="Na_t" localSheetId="0">'simple calculator for printing'!$S$27</definedName>
    <definedName name="Na_t">calculator!$S$30</definedName>
    <definedName name="nitrate_p" localSheetId="0">'simple calculator for printing'!$D$20</definedName>
    <definedName name="nitrate_p">calculator!$R$21</definedName>
    <definedName name="nitrate_t" localSheetId="0">'simple calculator for printing'!$S$32</definedName>
    <definedName name="nitrate_t">calculator!$S$35</definedName>
    <definedName name="potassium_bicarbonate" localSheetId="0">'simple calculator for printing'!$D$28</definedName>
    <definedName name="potassium_bicarbonate">calculator!$L$17</definedName>
    <definedName name="_xlnm.Print_Area" localSheetId="1">calculator!$B$2:$S$35</definedName>
    <definedName name="_xlnm.Print_Area" localSheetId="0">'simple calculator for printing'!$B$2:$I$44</definedName>
    <definedName name="sodium_bicarbonate" localSheetId="1">calculator!$L$16</definedName>
    <definedName name="sodium_bicarbonate" localSheetId="0">'simple calculator for printing'!$D$27</definedName>
    <definedName name="sodium_chloride" localSheetId="1">calculator!$L$15</definedName>
    <definedName name="sodium_chloride" localSheetId="0">'simple calculator for printing'!$D$26</definedName>
    <definedName name="sulfate_p" localSheetId="0">'simple calculator for printing'!$D$18</definedName>
    <definedName name="sulfate_p">calculator!$R$19</definedName>
    <definedName name="sulfate_t" localSheetId="0">'simple calculator for printing'!$S$30</definedName>
    <definedName name="sulfate_t">calculator!$S$33</definedName>
  </definedNames>
  <calcPr calcId="125725"/>
</workbook>
</file>

<file path=xl/calcChain.xml><?xml version="1.0" encoding="utf-8"?>
<calcChain xmlns="http://schemas.openxmlformats.org/spreadsheetml/2006/main">
  <c r="C24" i="4"/>
  <c r="R36" i="2"/>
  <c r="M36"/>
  <c r="N36" s="1"/>
  <c r="Q36"/>
  <c r="P36"/>
  <c r="O36"/>
  <c r="R41"/>
  <c r="P41"/>
  <c r="Q41"/>
  <c r="O41"/>
  <c r="R11"/>
  <c r="M11"/>
  <c r="N11" s="1"/>
  <c r="Q11"/>
  <c r="P11"/>
  <c r="O11"/>
  <c r="R42"/>
  <c r="M42"/>
  <c r="P42"/>
  <c r="Q42"/>
  <c r="O42"/>
  <c r="S36" l="1"/>
  <c r="S41"/>
  <c r="S11"/>
  <c r="S42"/>
  <c r="R38" l="1"/>
  <c r="R39"/>
  <c r="M38"/>
  <c r="N38" s="1"/>
  <c r="Q38"/>
  <c r="P38"/>
  <c r="O38"/>
  <c r="M39"/>
  <c r="N39" s="1"/>
  <c r="Q39"/>
  <c r="S39" s="1"/>
  <c r="P39"/>
  <c r="O39"/>
  <c r="M34"/>
  <c r="N34" s="1"/>
  <c r="M25"/>
  <c r="N25" s="1"/>
  <c r="M9"/>
  <c r="N9" s="1"/>
  <c r="M23"/>
  <c r="N23" s="1"/>
  <c r="M37"/>
  <c r="N37" s="1"/>
  <c r="M8"/>
  <c r="N8" s="1"/>
  <c r="M6"/>
  <c r="N6" s="1"/>
  <c r="M33"/>
  <c r="N33" s="1"/>
  <c r="M2"/>
  <c r="N2" s="1"/>
  <c r="M21"/>
  <c r="N21" s="1"/>
  <c r="M3"/>
  <c r="N3" s="1"/>
  <c r="M19"/>
  <c r="N19" s="1"/>
  <c r="M7"/>
  <c r="N7" s="1"/>
  <c r="M31"/>
  <c r="N31" s="1"/>
  <c r="M20"/>
  <c r="N20" s="1"/>
  <c r="M47"/>
  <c r="N47" s="1"/>
  <c r="M30"/>
  <c r="N30" s="1"/>
  <c r="M17"/>
  <c r="N17" s="1"/>
  <c r="M44"/>
  <c r="N44" s="1"/>
  <c r="M12"/>
  <c r="N12" s="1"/>
  <c r="M5"/>
  <c r="N5" s="1"/>
  <c r="M13"/>
  <c r="N13" s="1"/>
  <c r="M40"/>
  <c r="N40" s="1"/>
  <c r="M28"/>
  <c r="N28" s="1"/>
  <c r="M32"/>
  <c r="N32" s="1"/>
  <c r="M4"/>
  <c r="N4" s="1"/>
  <c r="M15"/>
  <c r="N15" s="1"/>
  <c r="M46"/>
  <c r="N46" s="1"/>
  <c r="M26"/>
  <c r="N26" s="1"/>
  <c r="M45"/>
  <c r="N45" s="1"/>
  <c r="M18"/>
  <c r="N18" s="1"/>
  <c r="M24"/>
  <c r="N24" s="1"/>
  <c r="M35"/>
  <c r="N35" s="1"/>
  <c r="M29"/>
  <c r="N29" s="1"/>
  <c r="M27"/>
  <c r="N27" s="1"/>
  <c r="M14"/>
  <c r="N14" s="1"/>
  <c r="M10"/>
  <c r="N10" s="1"/>
  <c r="M43"/>
  <c r="N43" s="1"/>
  <c r="M16"/>
  <c r="N16" s="1"/>
  <c r="M22"/>
  <c r="N22" s="1"/>
  <c r="P34"/>
  <c r="O34"/>
  <c r="Q34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2"/>
  <c r="R32"/>
  <c r="Q33"/>
  <c r="R33"/>
  <c r="R34"/>
  <c r="Q35"/>
  <c r="R35"/>
  <c r="Q37"/>
  <c r="R37"/>
  <c r="Q40"/>
  <c r="R40"/>
  <c r="Q43"/>
  <c r="R43"/>
  <c r="Q31"/>
  <c r="R31"/>
  <c r="Q44"/>
  <c r="R44"/>
  <c r="Q45"/>
  <c r="R45"/>
  <c r="Q46"/>
  <c r="R46"/>
  <c r="Q47"/>
  <c r="R47"/>
  <c r="Q5"/>
  <c r="R5"/>
  <c r="Q7"/>
  <c r="R7"/>
  <c r="Q8"/>
  <c r="R8"/>
  <c r="Q9"/>
  <c r="R9"/>
  <c r="Q10"/>
  <c r="R10"/>
  <c r="Q12"/>
  <c r="R12"/>
  <c r="Q13"/>
  <c r="R13"/>
  <c r="Q6"/>
  <c r="R6"/>
  <c r="Q3"/>
  <c r="R3"/>
  <c r="Q4"/>
  <c r="R4"/>
  <c r="R2"/>
  <c r="Q2"/>
  <c r="P28"/>
  <c r="O28"/>
  <c r="P23"/>
  <c r="O23"/>
  <c r="P25"/>
  <c r="O25"/>
  <c r="P9"/>
  <c r="O9"/>
  <c r="P29"/>
  <c r="O29"/>
  <c r="P6"/>
  <c r="O6"/>
  <c r="C20" i="4"/>
  <c r="P21" i="2"/>
  <c r="O21"/>
  <c r="P12"/>
  <c r="O12"/>
  <c r="P13"/>
  <c r="O13"/>
  <c r="C19" i="4"/>
  <c r="R19" i="6"/>
  <c r="D34"/>
  <c r="E34" s="1"/>
  <c r="G34" s="1"/>
  <c r="R18"/>
  <c r="R17"/>
  <c r="R16"/>
  <c r="R32" s="1"/>
  <c r="S32" s="1"/>
  <c r="D30" s="1"/>
  <c r="R15"/>
  <c r="R31" s="1"/>
  <c r="S31" s="1"/>
  <c r="R14"/>
  <c r="R30" s="1"/>
  <c r="S30" s="1"/>
  <c r="R13"/>
  <c r="R29" s="1"/>
  <c r="S29" s="1"/>
  <c r="R12"/>
  <c r="R28" s="1"/>
  <c r="S28" s="1"/>
  <c r="D28" s="1"/>
  <c r="R11"/>
  <c r="R27" s="1"/>
  <c r="S27" s="1"/>
  <c r="R10"/>
  <c r="R26" s="1"/>
  <c r="S26" s="1"/>
  <c r="R9"/>
  <c r="R25" s="1"/>
  <c r="S25" s="1"/>
  <c r="V10"/>
  <c r="V9"/>
  <c r="K12" i="4"/>
  <c r="P16" i="2"/>
  <c r="P40"/>
  <c r="P33"/>
  <c r="P45"/>
  <c r="P19"/>
  <c r="P3"/>
  <c r="P43"/>
  <c r="P30"/>
  <c r="P7"/>
  <c r="P17"/>
  <c r="P37"/>
  <c r="P8"/>
  <c r="P18"/>
  <c r="P15"/>
  <c r="P35"/>
  <c r="P2"/>
  <c r="P46"/>
  <c r="P47"/>
  <c r="P20"/>
  <c r="P44"/>
  <c r="P31"/>
  <c r="P24"/>
  <c r="P32"/>
  <c r="P14"/>
  <c r="P27"/>
  <c r="P10"/>
  <c r="P4"/>
  <c r="O3"/>
  <c r="O4"/>
  <c r="O7"/>
  <c r="O8"/>
  <c r="O10"/>
  <c r="O14"/>
  <c r="O15"/>
  <c r="O16"/>
  <c r="O17"/>
  <c r="O18"/>
  <c r="O19"/>
  <c r="O20"/>
  <c r="O24"/>
  <c r="O27"/>
  <c r="O30"/>
  <c r="O32"/>
  <c r="O33"/>
  <c r="O35"/>
  <c r="O37"/>
  <c r="O40"/>
  <c r="O43"/>
  <c r="O31"/>
  <c r="O44"/>
  <c r="O45"/>
  <c r="O46"/>
  <c r="O47"/>
  <c r="O2"/>
  <c r="V7" i="4"/>
  <c r="V8"/>
  <c r="C25"/>
  <c r="C32"/>
  <c r="C23"/>
  <c r="C22"/>
  <c r="C21"/>
  <c r="C18"/>
  <c r="R31" s="1"/>
  <c r="S31" s="1"/>
  <c r="L17" s="1"/>
  <c r="M17" s="1"/>
  <c r="N17" s="1"/>
  <c r="S17"/>
  <c r="S38" i="2" l="1"/>
  <c r="S33"/>
  <c r="S32"/>
  <c r="S30"/>
  <c r="S29"/>
  <c r="S28"/>
  <c r="S27"/>
  <c r="S26"/>
  <c r="S25"/>
  <c r="S24"/>
  <c r="S23"/>
  <c r="S22"/>
  <c r="S21"/>
  <c r="S20"/>
  <c r="S19"/>
  <c r="S18"/>
  <c r="S17"/>
  <c r="S16"/>
  <c r="S15"/>
  <c r="S4"/>
  <c r="S3"/>
  <c r="S6"/>
  <c r="S13"/>
  <c r="S9"/>
  <c r="S7"/>
  <c r="S5"/>
  <c r="S47"/>
  <c r="S46"/>
  <c r="S44"/>
  <c r="S43"/>
  <c r="S40"/>
  <c r="S37"/>
  <c r="S31"/>
  <c r="S35"/>
  <c r="S45"/>
  <c r="S8"/>
  <c r="S10"/>
  <c r="S12"/>
  <c r="S2"/>
  <c r="S34"/>
  <c r="S14"/>
  <c r="F34" i="6"/>
  <c r="E30"/>
  <c r="D26"/>
  <c r="D27" s="1"/>
  <c r="E28"/>
  <c r="D18" i="4"/>
  <c r="H18"/>
  <c r="G18" s="1"/>
  <c r="D23"/>
  <c r="R32"/>
  <c r="S21"/>
  <c r="S20"/>
  <c r="S19"/>
  <c r="S18"/>
  <c r="S16"/>
  <c r="S15"/>
  <c r="S14"/>
  <c r="C17"/>
  <c r="C16"/>
  <c r="C15"/>
  <c r="D15" s="1"/>
  <c r="G28" i="6" l="1"/>
  <c r="F28"/>
  <c r="G30"/>
  <c r="F30"/>
  <c r="E26"/>
  <c r="D29"/>
  <c r="E27"/>
  <c r="S24" i="4"/>
  <c r="S23"/>
  <c r="R30"/>
  <c r="S30" s="1"/>
  <c r="D17"/>
  <c r="R34"/>
  <c r="S34" s="1"/>
  <c r="D21"/>
  <c r="D19"/>
  <c r="R29"/>
  <c r="S29" s="1"/>
  <c r="D16"/>
  <c r="R33"/>
  <c r="D20"/>
  <c r="R35"/>
  <c r="D22"/>
  <c r="S32"/>
  <c r="R28"/>
  <c r="S28" s="1"/>
  <c r="D27" l="1"/>
  <c r="D28"/>
  <c r="G27" i="6"/>
  <c r="F27"/>
  <c r="F26"/>
  <c r="G26"/>
  <c r="E29"/>
  <c r="D31"/>
  <c r="D33" s="1"/>
  <c r="E33" s="1"/>
  <c r="S33" i="4"/>
  <c r="S35"/>
  <c r="L15"/>
  <c r="L18" s="1"/>
  <c r="G33" i="6" l="1"/>
  <c r="F33"/>
  <c r="G29"/>
  <c r="F29"/>
  <c r="E31"/>
  <c r="D32"/>
  <c r="D35"/>
  <c r="H21" i="4"/>
  <c r="G21" s="1"/>
  <c r="L19"/>
  <c r="L16"/>
  <c r="M15"/>
  <c r="M16" l="1"/>
  <c r="N16" s="1"/>
  <c r="G31" i="6"/>
  <c r="F31"/>
  <c r="E35"/>
  <c r="E32"/>
  <c r="D36"/>
  <c r="E36" s="1"/>
  <c r="N15" i="4"/>
  <c r="L20"/>
  <c r="M18"/>
  <c r="H22"/>
  <c r="G22" s="1"/>
  <c r="M19"/>
  <c r="N19" s="1"/>
  <c r="H17"/>
  <c r="G17" s="1"/>
  <c r="G35" i="6" l="1"/>
  <c r="F35"/>
  <c r="G36"/>
  <c r="F36"/>
  <c r="G32"/>
  <c r="F32"/>
  <c r="E37"/>
  <c r="D37"/>
  <c r="N18" i="4"/>
  <c r="L22"/>
  <c r="L24"/>
  <c r="M24" s="1"/>
  <c r="N24" s="1"/>
  <c r="L21"/>
  <c r="L25" s="1"/>
  <c r="M25" s="1"/>
  <c r="N25" s="1"/>
  <c r="M20"/>
  <c r="N20" s="1"/>
  <c r="G37" i="6" l="1"/>
  <c r="F37"/>
  <c r="H16" i="4"/>
  <c r="G16" s="1"/>
  <c r="M21"/>
  <c r="N21" s="1"/>
  <c r="L23"/>
  <c r="H19" s="1"/>
  <c r="M22"/>
  <c r="N22" s="1"/>
  <c r="H20"/>
  <c r="G20" s="1"/>
  <c r="L26" l="1"/>
  <c r="H23"/>
  <c r="H15"/>
  <c r="H27" s="1"/>
  <c r="M23"/>
  <c r="G26" l="1"/>
  <c r="G23"/>
  <c r="N23"/>
  <c r="N26" s="1"/>
  <c r="M26"/>
  <c r="G15"/>
  <c r="G24"/>
  <c r="H28"/>
  <c r="G19"/>
  <c r="G25" l="1"/>
</calcChain>
</file>

<file path=xl/sharedStrings.xml><?xml version="1.0" encoding="utf-8"?>
<sst xmlns="http://schemas.openxmlformats.org/spreadsheetml/2006/main" count="370" uniqueCount="199">
  <si>
    <t>Ca</t>
  </si>
  <si>
    <t>Mg</t>
  </si>
  <si>
    <t>Na</t>
  </si>
  <si>
    <t>HCO3</t>
  </si>
  <si>
    <t>SO4</t>
  </si>
  <si>
    <t>Cl</t>
  </si>
  <si>
    <t>mmol/L</t>
  </si>
  <si>
    <t>mg/L</t>
  </si>
  <si>
    <t>MW</t>
  </si>
  <si>
    <t>NaCl</t>
  </si>
  <si>
    <t>NaHCO3</t>
  </si>
  <si>
    <t>Mg(OH)2</t>
  </si>
  <si>
    <t>Ca(OH)2</t>
  </si>
  <si>
    <t>pH</t>
  </si>
  <si>
    <t>CO2</t>
  </si>
  <si>
    <t>Borsec</t>
  </si>
  <si>
    <t>Farris</t>
  </si>
  <si>
    <t>San Pellegrino</t>
  </si>
  <si>
    <t>Evian</t>
  </si>
  <si>
    <t>Vittel</t>
  </si>
  <si>
    <t>Perrier</t>
  </si>
  <si>
    <t>Na+</t>
  </si>
  <si>
    <t>HCO3-</t>
  </si>
  <si>
    <t>Ca++</t>
  </si>
  <si>
    <t>Mg++</t>
  </si>
  <si>
    <t>SO4--</t>
  </si>
  <si>
    <t>Cl-</t>
  </si>
  <si>
    <t>MgSO4 . 7H2O</t>
  </si>
  <si>
    <t>MgSO4.7H2O</t>
  </si>
  <si>
    <t>Salt</t>
  </si>
  <si>
    <t>Acqua Panna</t>
  </si>
  <si>
    <t>Apollinaris</t>
  </si>
  <si>
    <t>Gerolsteiner</t>
  </si>
  <si>
    <t>TDS</t>
  </si>
  <si>
    <t>calcium</t>
  </si>
  <si>
    <t>magnesium</t>
  </si>
  <si>
    <t>sodium</t>
  </si>
  <si>
    <t>bicarbonate</t>
  </si>
  <si>
    <t>sulfate</t>
  </si>
  <si>
    <t>chloride</t>
  </si>
  <si>
    <t>carbon dioxide</t>
  </si>
  <si>
    <t>calculated pH</t>
  </si>
  <si>
    <t>Compositional data for artificial mineral water</t>
  </si>
  <si>
    <t>positive charge equivalents</t>
  </si>
  <si>
    <t>negative charge equivalents</t>
  </si>
  <si>
    <t>mg</t>
  </si>
  <si>
    <t>g</t>
  </si>
  <si>
    <t>Amount of salt to add for</t>
  </si>
  <si>
    <t>1 liter</t>
  </si>
  <si>
    <t>Composition of tap water used</t>
  </si>
  <si>
    <t>Corrected target values</t>
  </si>
  <si>
    <t>Analytical data for chosen mineral water</t>
  </si>
  <si>
    <t>Downloaded from Khymos - a blog dedicated to molecular gastronomy and popular food science</t>
  </si>
  <si>
    <t>http://blog.khymos.org</t>
  </si>
  <si>
    <t>nitrate</t>
  </si>
  <si>
    <t>NO3</t>
  </si>
  <si>
    <t>K+</t>
  </si>
  <si>
    <t>NO3-</t>
  </si>
  <si>
    <t>Potassium</t>
  </si>
  <si>
    <t>Nitrate</t>
  </si>
  <si>
    <t>potassium</t>
  </si>
  <si>
    <t>KHCO3</t>
  </si>
  <si>
    <t>K</t>
  </si>
  <si>
    <t>Ca(NO3)2 . 4H2O</t>
  </si>
  <si>
    <t>Voss</t>
  </si>
  <si>
    <t>Dorna</t>
  </si>
  <si>
    <t>Ty Nant</t>
  </si>
  <si>
    <t>Salvus</t>
  </si>
  <si>
    <t>Waiwera</t>
  </si>
  <si>
    <t>Tesanjski Dijamant</t>
  </si>
  <si>
    <t>Antipodes</t>
  </si>
  <si>
    <t>Harghita</t>
  </si>
  <si>
    <t>Calistoga</t>
  </si>
  <si>
    <t>Extra CO2</t>
  </si>
  <si>
    <t>MgCl2</t>
  </si>
  <si>
    <t>MgCl2 . 6H2O</t>
  </si>
  <si>
    <t>if more Na than Cl, use NaCl for all Cl, otherwise only as much NaCl as Na</t>
  </si>
  <si>
    <t>if too little Na, add NaHCO3</t>
  </si>
  <si>
    <t>if Mg and SO4 still missing, add MgSO4</t>
  </si>
  <si>
    <t>if SO4 still missing, add CaSO4</t>
  </si>
  <si>
    <t>if K to be included: add KHCO3 for K</t>
  </si>
  <si>
    <t>if NO3 to be included: add Ca(NO3)2 for NO3</t>
  </si>
  <si>
    <t>MgCO3</t>
  </si>
  <si>
    <t>CaCO3</t>
  </si>
  <si>
    <t>Badoit</t>
  </si>
  <si>
    <t>Volvic</t>
  </si>
  <si>
    <t>Selters</t>
  </si>
  <si>
    <t>1) Choose which mineral water you want to recreate (click to show drop down list)</t>
  </si>
  <si>
    <t>3) Compare composition of the artificial mineral water with the original water (deviations are indicated with darker color)</t>
  </si>
  <si>
    <t>2) Click check boxes to include/exclude salts (depending on which salts are available)</t>
  </si>
  <si>
    <t>Instructions on how to use the spreadsheet</t>
  </si>
  <si>
    <t>Darker shading: failed to meet target</t>
  </si>
  <si>
    <t>Darker shading: amount = zero</t>
  </si>
  <si>
    <t>if using Mg(OH)2 and Mg still missing: add Mg(OH)2 (alternatively add MgCO3)</t>
  </si>
  <si>
    <t>if using Ca(OH)2 and Ca still missing: add Ca(OH)2 (alternatively add CaCO3)</t>
  </si>
  <si>
    <t>Algorithm used explained in words</t>
  </si>
  <si>
    <t>if MgCl2 to be used: use MgCl2 for remaining Cl</t>
  </si>
  <si>
    <t>Total salt</t>
  </si>
  <si>
    <t>5) CO2 level is not always given for the mineral water chosen. Adjust amount and notice how it affects the pH.</t>
  </si>
  <si>
    <t>Red: cations and anions do not balance</t>
  </si>
  <si>
    <t>CaSO4 . 0.5H2O</t>
  </si>
  <si>
    <t>Fiuggi</t>
  </si>
  <si>
    <t>San Benedetto</t>
  </si>
  <si>
    <t>no gas</t>
  </si>
  <si>
    <t>Mountain Valley Spring</t>
  </si>
  <si>
    <t xml:space="preserve"> (means that compositional data shown is incomplete)</t>
  </si>
  <si>
    <t>Liters:</t>
  </si>
  <si>
    <t>Hassia Sprudel</t>
  </si>
  <si>
    <t>Rosbacher Klassich</t>
  </si>
  <si>
    <t>Ca/Mg</t>
  </si>
  <si>
    <t>Ca/Na</t>
  </si>
  <si>
    <t>All cells requiring input are colored yellow (except the checkboxes)</t>
  </si>
  <si>
    <t>4) If known, please enter the composition of your tapwater here and the recipe will be adjusted according to this. Add bicarbonate to balance charge.</t>
  </si>
  <si>
    <t>Plaster of Paris</t>
  </si>
  <si>
    <t>Epsom salt</t>
  </si>
  <si>
    <t>Chalk</t>
  </si>
  <si>
    <t>Baking soda</t>
  </si>
  <si>
    <t>Table salt</t>
  </si>
  <si>
    <t>Synonyms:</t>
  </si>
  <si>
    <t>Kessel</t>
  </si>
  <si>
    <t>Milk of magnesia</t>
  </si>
  <si>
    <t>Contrex</t>
  </si>
  <si>
    <t>Henniez</t>
  </si>
  <si>
    <t>Neuselters</t>
  </si>
  <si>
    <t>Aquarel Birken</t>
  </si>
  <si>
    <t>San Narciso</t>
  </si>
  <si>
    <t>little gas</t>
  </si>
  <si>
    <t>10 liters</t>
  </si>
  <si>
    <t>100 liters</t>
  </si>
  <si>
    <t>3) Click check boxes to include/exclude salts and weigh out approriate amounts</t>
  </si>
  <si>
    <t>2) Enter the composition of your tapwater if known</t>
  </si>
  <si>
    <t>4) Carbonate water, let carbonic acid dissolve magnesium and calcium salts, chill and enjoy!</t>
  </si>
  <si>
    <t>6) Carbonate water, let the carbonic acid dissolve magnesium and calcium salts, chill and enjoy!</t>
  </si>
  <si>
    <t>Please note</t>
  </si>
  <si>
    <t>Hydroxides dissolve more rapidly than carbonates</t>
  </si>
  <si>
    <t>http://en.wikipedia.org/wiki/Plaster_of_Paris#Gypsum_plaster</t>
  </si>
  <si>
    <t>http://en.wikipedia.org/wiki/Epsom_salt</t>
  </si>
  <si>
    <t>http://en.wikipedia.org/wiki/Chalk</t>
  </si>
  <si>
    <t>http://en.wikipedia.org/wiki/Baking_soda</t>
  </si>
  <si>
    <t>http://en.wikipedia.org/wiki/Salt</t>
  </si>
  <si>
    <t>http://en.wikipedia.org/wiki/Milk_of_Magnesia</t>
  </si>
  <si>
    <t>Slaked lime, pickling lime, CAL</t>
  </si>
  <si>
    <t>http://en.wikipedia.org/wiki/Calcium_hydroxide</t>
  </si>
  <si>
    <t>http://khymos.org</t>
  </si>
  <si>
    <t>Comment</t>
  </si>
  <si>
    <t>Burton (beer brewing)</t>
  </si>
  <si>
    <t>London (beer brewing)</t>
  </si>
  <si>
    <t>Munich (beer brewing)</t>
  </si>
  <si>
    <t>Pilsen (beer brewing)</t>
  </si>
  <si>
    <t>PurPur (coffee brewing)</t>
  </si>
  <si>
    <t>Used for strong, pale, bitter ales</t>
  </si>
  <si>
    <t>Used for dark, soft flavored beers</t>
  </si>
  <si>
    <t>Used for pale lager beer</t>
  </si>
  <si>
    <t>Pos charge eq.</t>
  </si>
  <si>
    <t>Neg charge eq.</t>
  </si>
  <si>
    <t>http://www.dorna.ro/thewater.aspx</t>
  </si>
  <si>
    <t>bicarbonate adjusted to achieve neutral charge</t>
  </si>
  <si>
    <t>URL</t>
  </si>
  <si>
    <t>http://www.carola.fr</t>
  </si>
  <si>
    <t>Carola Rouge</t>
  </si>
  <si>
    <t>http://www.calistogawater.com/Mineral.aspx</t>
  </si>
  <si>
    <t>http://fg.geo.uu.nl/perk/mineralwaters/mineralwater.php?Country_id=1061&amp;Brand=Borsec-Carbogazoasa</t>
  </si>
  <si>
    <t>http://en.wikipedia.org/wiki/Volvic_(mineral_water)</t>
  </si>
  <si>
    <t>TDS calculated</t>
  </si>
  <si>
    <t>http://fg.geo.uu.nl/perk/mineralwaters/mineralwater.php?Country_id=1017&amp;Brand=San-Pellegrino</t>
  </si>
  <si>
    <t>Saint-Yorre</t>
  </si>
  <si>
    <t>http://fg.geo.uu.nl/perk/mineralwaters/mineralwater.php?Country_id=1013&amp;Brand=St-Yorre</t>
  </si>
  <si>
    <t>Claimed to be good for brewing coffee</t>
  </si>
  <si>
    <t xml:space="preserve"> http://www.purpur-premiumwasser.de/characteristics-of-the-perfect-water.html</t>
  </si>
  <si>
    <t>TDS diff</t>
  </si>
  <si>
    <t>Charge Diff</t>
  </si>
  <si>
    <t>http://www.aguainfant.com/ENGLISH/AGUAS-ESP/S/s-narciso.htm</t>
  </si>
  <si>
    <t>Tea brewing (max)</t>
  </si>
  <si>
    <t>Tea brewing (min)</t>
  </si>
  <si>
    <t>"Functional water 1" from US 2006/0286263</t>
  </si>
  <si>
    <t>"Functional water 2" from US 2006/0286263</t>
  </si>
  <si>
    <t>http://www.google.com/patents/US20060286263</t>
  </si>
  <si>
    <t>Ca:Mg 1:1, Na at 125 mg/L according to    Kulhavy, T; Cuta, J. Vodni Hospodarstvi:  B  1973,  23(9),  222-6 "Effects of  mineral  content on the  taste  of water"</t>
  </si>
  <si>
    <t>Artificial mineral water</t>
  </si>
  <si>
    <t>http://blog.khymos.org/2012/01/04/mineral-waters-a-la-carte/</t>
  </si>
  <si>
    <t>http://blog.khymos.org/2011/01/30/diy-mineral-water/</t>
  </si>
  <si>
    <t>Topo chico</t>
  </si>
  <si>
    <t>Data from Google books via John Chamberlain</t>
  </si>
  <si>
    <t>Calistoga Brand Mineral water</t>
  </si>
  <si>
    <t>Calistoga Premium</t>
  </si>
  <si>
    <t>Calistoga Brand Premium water</t>
  </si>
  <si>
    <t>Calculate minimum CO2 pressure required for calcium to be soluble?</t>
  </si>
  <si>
    <t>http://en.wikipedia.org/wiki/Calcium_carbonate</t>
  </si>
  <si>
    <t>http://en.wikipedia.org/wiki/Carbonic_acid</t>
  </si>
  <si>
    <t>http://www.truetex.com/carbonation.htm</t>
  </si>
  <si>
    <t>Rakkestad</t>
  </si>
  <si>
    <t>test</t>
  </si>
  <si>
    <t>SCAA target (coffee brewing)</t>
  </si>
  <si>
    <t>http://scaa.org/PDF/ST%20-%20WATER%20STANDARD%20V.21NOV2009A.pdf</t>
  </si>
  <si>
    <t>calculated P(CO2)</t>
  </si>
  <si>
    <t>atm</t>
  </si>
  <si>
    <t>calc pressure</t>
  </si>
  <si>
    <t>Ideal water for coffee according to Specialty Coffee Association of America (SCAA). HCO3 added to balance charge.</t>
  </si>
  <si>
    <t>Mineral water calculator by Martin Lersch (v.6, January 2015)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</si>
</sst>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64" formatCode="_ * #,##0.0000_ ;_ * \-#,##0.0000_ ;_ * &quot;-&quot;??_ ;_ @_ "/>
    <numFmt numFmtId="165" formatCode="0.0"/>
    <numFmt numFmtId="166" formatCode="_ * #,##0_ ;_ * \-#,##0_ ;_ * &quot;-&quot;??_ ;_ @_ "/>
    <numFmt numFmtId="167" formatCode="_ * #,##0.0_ ;_ * \-#,##0.0_ ;_ * &quot;-&quot;??_ ;_ 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9701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164" fontId="0" fillId="0" borderId="0" xfId="1" applyNumberFormat="1" applyFont="1"/>
    <xf numFmtId="0" fontId="0" fillId="2" borderId="0" xfId="0" applyFill="1"/>
    <xf numFmtId="0" fontId="0" fillId="0" borderId="0" xfId="0" applyFill="1"/>
    <xf numFmtId="0" fontId="0" fillId="4" borderId="0" xfId="0" applyFill="1"/>
    <xf numFmtId="164" fontId="0" fillId="4" borderId="0" xfId="1" applyNumberFormat="1" applyFont="1" applyFill="1"/>
    <xf numFmtId="164" fontId="0" fillId="5" borderId="0" xfId="1" applyNumberFormat="1" applyFont="1" applyFill="1"/>
    <xf numFmtId="0" fontId="2" fillId="6" borderId="0" xfId="0" applyFont="1" applyFill="1"/>
    <xf numFmtId="0" fontId="0" fillId="6" borderId="0" xfId="0" applyFill="1"/>
    <xf numFmtId="164" fontId="0" fillId="6" borderId="0" xfId="1" applyNumberFormat="1" applyFont="1" applyFill="1"/>
    <xf numFmtId="164" fontId="0" fillId="2" borderId="0" xfId="1" applyNumberFormat="1" applyFont="1" applyFill="1"/>
    <xf numFmtId="0" fontId="0" fillId="5" borderId="0" xfId="0" applyFill="1"/>
    <xf numFmtId="0" fontId="0" fillId="5" borderId="0" xfId="0" applyFill="1" applyAlignment="1">
      <alignment horizontal="right"/>
    </xf>
    <xf numFmtId="166" fontId="0" fillId="5" borderId="0" xfId="1" applyNumberFormat="1" applyFont="1" applyFill="1"/>
    <xf numFmtId="43" fontId="0" fillId="5" borderId="0" xfId="1" applyNumberFormat="1" applyFont="1" applyFill="1"/>
    <xf numFmtId="0" fontId="0" fillId="4" borderId="0" xfId="0" applyFill="1" applyAlignment="1">
      <alignment horizontal="right"/>
    </xf>
    <xf numFmtId="0" fontId="2" fillId="4" borderId="0" xfId="0" applyFont="1" applyFill="1"/>
    <xf numFmtId="43" fontId="0" fillId="4" borderId="0" xfId="1" applyNumberFormat="1" applyFont="1" applyFill="1"/>
    <xf numFmtId="0" fontId="0" fillId="3" borderId="0" xfId="0" applyFill="1"/>
    <xf numFmtId="164" fontId="0" fillId="3" borderId="0" xfId="1" applyNumberFormat="1" applyFont="1" applyFill="1"/>
    <xf numFmtId="0" fontId="2" fillId="3" borderId="0" xfId="0" applyFont="1" applyFill="1"/>
    <xf numFmtId="0" fontId="2" fillId="5" borderId="0" xfId="0" applyFont="1" applyFill="1"/>
    <xf numFmtId="164" fontId="2" fillId="5" borderId="0" xfId="1" applyNumberFormat="1" applyFont="1" applyFill="1"/>
    <xf numFmtId="164" fontId="2" fillId="6" borderId="0" xfId="1" applyNumberFormat="1" applyFont="1" applyFill="1"/>
    <xf numFmtId="0" fontId="0" fillId="7" borderId="0" xfId="0" applyFill="1"/>
    <xf numFmtId="0" fontId="0" fillId="7" borderId="0" xfId="0" applyFill="1" applyAlignment="1">
      <alignment horizontal="right"/>
    </xf>
    <xf numFmtId="0" fontId="2" fillId="7" borderId="0" xfId="0" applyFont="1" applyFill="1"/>
    <xf numFmtId="43" fontId="0" fillId="7" borderId="0" xfId="1" applyNumberFormat="1" applyFont="1" applyFill="1"/>
    <xf numFmtId="0" fontId="3" fillId="3" borderId="0" xfId="2" applyFill="1" applyAlignment="1" applyProtection="1"/>
    <xf numFmtId="43" fontId="0" fillId="3" borderId="0" xfId="1" applyNumberFormat="1" applyFont="1" applyFill="1"/>
    <xf numFmtId="0" fontId="0" fillId="8" borderId="0" xfId="0" applyFill="1"/>
    <xf numFmtId="164" fontId="0" fillId="8" borderId="0" xfId="1" applyNumberFormat="1" applyFont="1" applyFill="1"/>
    <xf numFmtId="0" fontId="0" fillId="0" borderId="0" xfId="0" applyFont="1"/>
    <xf numFmtId="0" fontId="0" fillId="9" borderId="0" xfId="0" applyFill="1"/>
    <xf numFmtId="164" fontId="0" fillId="9" borderId="0" xfId="1" applyNumberFormat="1" applyFont="1" applyFill="1"/>
    <xf numFmtId="0" fontId="2" fillId="8" borderId="0" xfId="0" applyFont="1" applyFill="1"/>
    <xf numFmtId="0" fontId="0" fillId="8" borderId="0" xfId="0" applyFill="1" applyAlignment="1">
      <alignment horizontal="right"/>
    </xf>
    <xf numFmtId="43" fontId="0" fillId="8" borderId="0" xfId="1" applyNumberFormat="1" applyFont="1" applyFill="1"/>
    <xf numFmtId="0" fontId="0" fillId="10" borderId="0" xfId="0" applyFill="1"/>
    <xf numFmtId="2" fontId="0" fillId="10" borderId="0" xfId="1" applyNumberFormat="1" applyFont="1" applyFill="1"/>
    <xf numFmtId="1" fontId="0" fillId="10" borderId="0" xfId="1" applyNumberFormat="1" applyFont="1" applyFill="1"/>
    <xf numFmtId="164" fontId="2" fillId="3" borderId="0" xfId="1" applyNumberFormat="1" applyFont="1" applyFill="1"/>
    <xf numFmtId="164" fontId="0" fillId="0" borderId="0" xfId="1" applyNumberFormat="1" applyFont="1" applyFill="1"/>
    <xf numFmtId="0" fontId="4" fillId="0" borderId="0" xfId="0" applyFont="1"/>
    <xf numFmtId="164" fontId="2" fillId="4" borderId="0" xfId="1" applyNumberFormat="1" applyFont="1" applyFill="1"/>
    <xf numFmtId="165" fontId="0" fillId="10" borderId="0" xfId="0" applyNumberFormat="1" applyFill="1"/>
    <xf numFmtId="0" fontId="2" fillId="2" borderId="0" xfId="0" applyFont="1" applyFill="1"/>
    <xf numFmtId="1" fontId="0" fillId="10" borderId="1" xfId="1" applyNumberFormat="1" applyFont="1" applyFill="1" applyBorder="1"/>
    <xf numFmtId="165" fontId="0" fillId="10" borderId="1" xfId="0" applyNumberFormat="1" applyFill="1" applyBorder="1"/>
    <xf numFmtId="0" fontId="0" fillId="11" borderId="0" xfId="0" applyFill="1"/>
    <xf numFmtId="164" fontId="0" fillId="11" borderId="0" xfId="1" applyNumberFormat="1" applyFont="1" applyFill="1"/>
    <xf numFmtId="2" fontId="0" fillId="10" borderId="1" xfId="1" applyNumberFormat="1" applyFont="1" applyFill="1" applyBorder="1"/>
    <xf numFmtId="1" fontId="0" fillId="3" borderId="0" xfId="0" applyNumberFormat="1" applyFill="1" applyBorder="1"/>
    <xf numFmtId="2" fontId="0" fillId="3" borderId="0" xfId="0" applyNumberFormat="1" applyFill="1"/>
    <xf numFmtId="0" fontId="2" fillId="3" borderId="0" xfId="0" applyFont="1" applyFill="1" applyBorder="1"/>
    <xf numFmtId="2" fontId="0" fillId="3" borderId="0" xfId="0" applyNumberFormat="1" applyFill="1" applyBorder="1"/>
    <xf numFmtId="0" fontId="2" fillId="6" borderId="0" xfId="0" applyFont="1" applyFill="1" applyAlignment="1">
      <alignment horizontal="left"/>
    </xf>
    <xf numFmtId="0" fontId="2" fillId="3" borderId="2" xfId="0" applyFont="1" applyFill="1" applyBorder="1"/>
    <xf numFmtId="2" fontId="0" fillId="3" borderId="2" xfId="0" applyNumberFormat="1" applyFill="1" applyBorder="1"/>
    <xf numFmtId="1" fontId="0" fillId="3" borderId="2" xfId="0" applyNumberFormat="1" applyFill="1" applyBorder="1"/>
    <xf numFmtId="167" fontId="0" fillId="2" borderId="0" xfId="1" applyNumberFormat="1" applyFont="1" applyFill="1"/>
    <xf numFmtId="164" fontId="5" fillId="3" borderId="0" xfId="1" applyNumberFormat="1" applyFont="1" applyFill="1"/>
    <xf numFmtId="0" fontId="5" fillId="3" borderId="0" xfId="0" applyFont="1" applyFill="1"/>
    <xf numFmtId="43" fontId="0" fillId="8" borderId="0" xfId="0" applyNumberFormat="1" applyFill="1"/>
    <xf numFmtId="167" fontId="0" fillId="8" borderId="0" xfId="1" applyNumberFormat="1" applyFont="1" applyFill="1"/>
    <xf numFmtId="164" fontId="2" fillId="7" borderId="0" xfId="1" applyNumberFormat="1" applyFont="1" applyFill="1"/>
    <xf numFmtId="164" fontId="2" fillId="8" borderId="0" xfId="1" applyNumberFormat="1" applyFont="1" applyFill="1"/>
    <xf numFmtId="2" fontId="0" fillId="10" borderId="0" xfId="0" applyNumberFormat="1" applyFill="1"/>
    <xf numFmtId="0" fontId="5" fillId="6" borderId="0" xfId="0" applyFont="1" applyFill="1"/>
    <xf numFmtId="165" fontId="0" fillId="3" borderId="0" xfId="0" applyNumberFormat="1" applyFill="1" applyAlignment="1">
      <alignment horizontal="center" vertical="center" textRotation="90"/>
    </xf>
    <xf numFmtId="2" fontId="0" fillId="3" borderId="0" xfId="1" applyNumberFormat="1" applyFont="1" applyFill="1" applyAlignment="1">
      <alignment horizontal="center" vertical="center" textRotation="90"/>
    </xf>
    <xf numFmtId="165" fontId="0" fillId="3" borderId="2" xfId="0" applyNumberFormat="1" applyFill="1" applyBorder="1"/>
    <xf numFmtId="2" fontId="0" fillId="3" borderId="2" xfId="1" applyNumberFormat="1" applyFont="1" applyFill="1" applyBorder="1"/>
    <xf numFmtId="0" fontId="2" fillId="0" borderId="0" xfId="0" applyFont="1" applyFill="1"/>
    <xf numFmtId="164" fontId="2" fillId="0" borderId="0" xfId="1" applyNumberFormat="1" applyFont="1" applyFill="1"/>
    <xf numFmtId="0" fontId="5" fillId="0" borderId="0" xfId="0" applyFont="1" applyFill="1"/>
    <xf numFmtId="43" fontId="0" fillId="0" borderId="0" xfId="1" applyNumberFormat="1" applyFont="1" applyFill="1"/>
    <xf numFmtId="2" fontId="0" fillId="0" borderId="0" xfId="1" applyNumberFormat="1" applyFont="1" applyFill="1"/>
    <xf numFmtId="166" fontId="0" fillId="0" borderId="0" xfId="1" applyNumberFormat="1" applyFont="1" applyFill="1"/>
    <xf numFmtId="2" fontId="0" fillId="0" borderId="0" xfId="1" applyNumberFormat="1" applyFont="1" applyFill="1" applyAlignment="1">
      <alignment horizontal="center" vertical="center" textRotation="90"/>
    </xf>
    <xf numFmtId="0" fontId="4" fillId="0" borderId="0" xfId="0" applyFont="1" applyFill="1"/>
    <xf numFmtId="0" fontId="2" fillId="6" borderId="0" xfId="1" applyNumberFormat="1" applyFont="1" applyFill="1"/>
    <xf numFmtId="167" fontId="0" fillId="0" borderId="0" xfId="1" applyNumberFormat="1" applyFont="1" applyFill="1"/>
    <xf numFmtId="0" fontId="4" fillId="12" borderId="0" xfId="0" applyFont="1" applyFill="1"/>
    <xf numFmtId="2" fontId="4" fillId="12" borderId="0" xfId="1" applyNumberFormat="1" applyFont="1" applyFill="1"/>
    <xf numFmtId="1" fontId="4" fillId="12" borderId="0" xfId="1" applyNumberFormat="1" applyFont="1" applyFill="1"/>
    <xf numFmtId="2" fontId="4" fillId="12" borderId="0" xfId="0" applyNumberFormat="1" applyFont="1" applyFill="1"/>
    <xf numFmtId="165" fontId="4" fillId="12" borderId="0" xfId="0" applyNumberFormat="1" applyFont="1" applyFill="1"/>
    <xf numFmtId="2" fontId="4" fillId="12" borderId="0" xfId="1" applyNumberFormat="1" applyFont="1" applyFill="1" applyBorder="1"/>
    <xf numFmtId="1" fontId="4" fillId="12" borderId="0" xfId="1" applyNumberFormat="1" applyFont="1" applyFill="1" applyBorder="1"/>
    <xf numFmtId="2" fontId="4" fillId="12" borderId="1" xfId="1" applyNumberFormat="1" applyFont="1" applyFill="1" applyBorder="1"/>
    <xf numFmtId="1" fontId="4" fillId="12" borderId="1" xfId="1" applyNumberFormat="1" applyFont="1" applyFill="1" applyBorder="1"/>
    <xf numFmtId="0" fontId="4" fillId="11" borderId="0" xfId="0" applyFont="1" applyFill="1"/>
    <xf numFmtId="0" fontId="2" fillId="11" borderId="0" xfId="0" applyFont="1" applyFill="1"/>
    <xf numFmtId="164" fontId="2" fillId="11" borderId="0" xfId="1" applyNumberFormat="1" applyFont="1" applyFill="1"/>
    <xf numFmtId="0" fontId="5" fillId="11" borderId="0" xfId="0" applyFont="1" applyFill="1"/>
    <xf numFmtId="0" fontId="2" fillId="11" borderId="0" xfId="1" applyNumberFormat="1" applyFont="1" applyFill="1" applyAlignment="1">
      <alignment horizontal="left" vertical="top"/>
    </xf>
    <xf numFmtId="0" fontId="2" fillId="11" borderId="0" xfId="0" applyFont="1" applyFill="1" applyAlignment="1">
      <alignment horizontal="left"/>
    </xf>
    <xf numFmtId="164" fontId="0" fillId="11" borderId="2" xfId="1" applyNumberFormat="1" applyFont="1" applyFill="1" applyBorder="1"/>
    <xf numFmtId="0" fontId="2" fillId="11" borderId="2" xfId="0" applyFont="1" applyFill="1" applyBorder="1"/>
    <xf numFmtId="164" fontId="5" fillId="11" borderId="0" xfId="1" applyNumberFormat="1" applyFont="1" applyFill="1"/>
    <xf numFmtId="0" fontId="2" fillId="11" borderId="0" xfId="0" applyFont="1" applyFill="1" applyBorder="1"/>
    <xf numFmtId="0" fontId="0" fillId="11" borderId="0" xfId="0" applyFont="1" applyFill="1"/>
    <xf numFmtId="0" fontId="0" fillId="0" borderId="0" xfId="0" applyFont="1" applyFill="1"/>
    <xf numFmtId="0" fontId="0" fillId="2" borderId="0" xfId="0" applyFont="1" applyFill="1"/>
    <xf numFmtId="0" fontId="0" fillId="0" borderId="0" xfId="0" applyFont="1" applyFill="1" applyAlignment="1">
      <alignment horizontal="right"/>
    </xf>
    <xf numFmtId="0" fontId="0" fillId="11" borderId="0" xfId="0" applyFont="1" applyFill="1" applyAlignment="1">
      <alignment horizontal="right"/>
    </xf>
    <xf numFmtId="165" fontId="0" fillId="0" borderId="0" xfId="0" applyNumberFormat="1" applyFont="1" applyFill="1" applyAlignment="1">
      <alignment horizontal="center" vertical="center" textRotation="90"/>
    </xf>
    <xf numFmtId="2" fontId="0" fillId="11" borderId="2" xfId="0" applyNumberFormat="1" applyFont="1" applyFill="1" applyBorder="1"/>
    <xf numFmtId="1" fontId="0" fillId="11" borderId="2" xfId="0" applyNumberFormat="1" applyFont="1" applyFill="1" applyBorder="1"/>
    <xf numFmtId="165" fontId="0" fillId="11" borderId="2" xfId="0" applyNumberFormat="1" applyFont="1" applyFill="1" applyBorder="1"/>
    <xf numFmtId="2" fontId="0" fillId="11" borderId="0" xfId="0" applyNumberFormat="1" applyFont="1" applyFill="1" applyBorder="1"/>
    <xf numFmtId="1" fontId="0" fillId="11" borderId="0" xfId="0" applyNumberFormat="1" applyFont="1" applyFill="1" applyBorder="1"/>
    <xf numFmtId="2" fontId="0" fillId="11" borderId="0" xfId="0" applyNumberFormat="1" applyFont="1" applyFill="1"/>
    <xf numFmtId="43" fontId="0" fillId="0" borderId="0" xfId="0" applyNumberFormat="1" applyFont="1" applyFill="1"/>
    <xf numFmtId="0" fontId="3" fillId="11" borderId="0" xfId="2" applyFill="1" applyAlignment="1" applyProtection="1"/>
    <xf numFmtId="165" fontId="0" fillId="0" borderId="0" xfId="0" applyNumberFormat="1"/>
    <xf numFmtId="167" fontId="2" fillId="4" borderId="0" xfId="1" applyNumberFormat="1" applyFont="1" applyFill="1"/>
    <xf numFmtId="167" fontId="0" fillId="0" borderId="0" xfId="1" applyNumberFormat="1" applyFont="1"/>
    <xf numFmtId="166" fontId="2" fillId="4" borderId="0" xfId="1" applyNumberFormat="1" applyFont="1" applyFill="1"/>
    <xf numFmtId="166" fontId="0" fillId="0" borderId="0" xfId="1" applyNumberFormat="1" applyFont="1"/>
    <xf numFmtId="0" fontId="3" fillId="0" borderId="0" xfId="2" applyFill="1" applyAlignment="1" applyProtection="1"/>
    <xf numFmtId="0" fontId="3" fillId="0" borderId="0" xfId="2" applyFont="1" applyFill="1" applyAlignment="1" applyProtection="1"/>
    <xf numFmtId="164" fontId="6" fillId="0" borderId="0" xfId="1" applyNumberFormat="1" applyFont="1" applyFill="1"/>
    <xf numFmtId="164" fontId="0" fillId="5" borderId="0" xfId="1" applyNumberFormat="1" applyFont="1" applyFill="1" applyAlignment="1">
      <alignment horizontal="right"/>
    </xf>
  </cellXfs>
  <cellStyles count="3">
    <cellStyle name="Comma" xfId="1" builtinId="3"/>
    <cellStyle name="Hyperlink" xfId="2" builtinId="8"/>
    <cellStyle name="Normal" xfId="0" builtinId="0"/>
  </cellStyles>
  <dxfs count="13"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49701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log.khymos.org/2012/01/04/mineral-waters-a-la-carte/" TargetMode="External"/><Relationship Id="rId2" Type="http://schemas.openxmlformats.org/officeDocument/2006/relationships/hyperlink" Target="http://blog.khymos.org/2011/01/30/diy-mineral-water/" TargetMode="External"/><Relationship Id="rId1" Type="http://schemas.openxmlformats.org/officeDocument/2006/relationships/hyperlink" Target="http://khymos.org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blog.khymos.org/2012/01/04/mineral-waters-a-la-carte/" TargetMode="External"/><Relationship Id="rId2" Type="http://schemas.openxmlformats.org/officeDocument/2006/relationships/hyperlink" Target="http://blog.khymos.org/2011/01/30/diy-mineral-water/" TargetMode="External"/><Relationship Id="rId1" Type="http://schemas.openxmlformats.org/officeDocument/2006/relationships/hyperlink" Target="http://blog.khymos.org/" TargetMode="Externa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1"/>
  <sheetViews>
    <sheetView tabSelected="1" zoomScaleNormal="100" workbookViewId="0">
      <selection activeCell="B3" sqref="B3"/>
    </sheetView>
  </sheetViews>
  <sheetFormatPr defaultRowHeight="15"/>
  <cols>
    <col min="1" max="1" width="5.7109375" style="103" customWidth="1"/>
    <col min="2" max="2" width="4.28515625" style="103" customWidth="1"/>
    <col min="3" max="3" width="23.42578125" style="103" bestFit="1" customWidth="1"/>
    <col min="4" max="4" width="11.5703125" style="103" customWidth="1"/>
    <col min="5" max="5" width="11.28515625" style="103" customWidth="1"/>
    <col min="6" max="6" width="12.5703125" style="103" customWidth="1"/>
    <col min="7" max="7" width="11.85546875" style="103" customWidth="1"/>
    <col min="8" max="8" width="16.140625" style="42" customWidth="1"/>
    <col min="9" max="9" width="10.7109375" style="42" customWidth="1"/>
    <col min="10" max="10" width="7.85546875" style="42" bestFit="1" customWidth="1"/>
    <col min="11" max="11" width="12.140625" style="103" customWidth="1"/>
    <col min="12" max="13" width="9.140625" style="103"/>
    <col min="14" max="14" width="41.28515625" style="103" customWidth="1"/>
    <col min="15" max="15" width="38" style="103" customWidth="1"/>
    <col min="16" max="16" width="53.28515625" style="103" customWidth="1"/>
    <col min="17" max="17" width="17.28515625" style="103" customWidth="1"/>
    <col min="18" max="18" width="11.42578125" style="103" customWidth="1"/>
    <col min="19" max="19" width="9.140625" style="103"/>
    <col min="20" max="20" width="8.42578125" style="103" customWidth="1"/>
    <col min="21" max="21" width="15" style="103" customWidth="1"/>
    <col min="22" max="22" width="9.140625" style="103"/>
    <col min="23" max="23" width="16.28515625" style="103" customWidth="1"/>
    <col min="24" max="16384" width="9.140625" style="103"/>
  </cols>
  <sheetData>
    <row r="1" spans="1:22">
      <c r="A1" s="92"/>
      <c r="B1" s="102"/>
      <c r="C1" s="102"/>
      <c r="D1" s="102"/>
      <c r="E1" s="102"/>
      <c r="F1" s="102"/>
      <c r="G1" s="102"/>
      <c r="H1" s="50"/>
    </row>
    <row r="2" spans="1:22">
      <c r="A2" s="92"/>
      <c r="B2" s="93" t="s">
        <v>198</v>
      </c>
      <c r="C2" s="102"/>
      <c r="D2" s="102"/>
      <c r="E2" s="102"/>
      <c r="F2" s="102"/>
      <c r="G2" s="102"/>
      <c r="H2" s="50"/>
    </row>
    <row r="3" spans="1:22">
      <c r="A3" s="92"/>
      <c r="B3" s="102" t="s">
        <v>52</v>
      </c>
      <c r="C3" s="102"/>
      <c r="D3" s="102"/>
      <c r="E3" s="102"/>
      <c r="F3" s="102"/>
      <c r="G3" s="102"/>
      <c r="H3" s="50"/>
    </row>
    <row r="4" spans="1:22">
      <c r="A4" s="92"/>
      <c r="B4" s="115" t="s">
        <v>143</v>
      </c>
      <c r="C4" s="102"/>
      <c r="D4" s="102"/>
      <c r="E4" s="102"/>
      <c r="F4" s="102"/>
      <c r="G4" s="102"/>
      <c r="H4" s="102"/>
      <c r="I4" s="103"/>
      <c r="J4" s="103"/>
      <c r="U4" s="103" t="s">
        <v>58</v>
      </c>
      <c r="V4" s="103" t="b">
        <v>1</v>
      </c>
    </row>
    <row r="5" spans="1:22">
      <c r="A5" s="92"/>
      <c r="B5" s="121" t="s">
        <v>179</v>
      </c>
      <c r="C5" s="102"/>
      <c r="D5" s="102"/>
      <c r="E5" s="102"/>
      <c r="F5" s="102"/>
      <c r="G5" s="102"/>
      <c r="H5" s="102"/>
      <c r="I5" s="103"/>
      <c r="J5" s="103"/>
      <c r="U5" s="103" t="s">
        <v>59</v>
      </c>
      <c r="V5" s="103" t="b">
        <v>1</v>
      </c>
    </row>
    <row r="6" spans="1:22">
      <c r="A6" s="92"/>
      <c r="B6" s="121" t="s">
        <v>180</v>
      </c>
      <c r="C6" s="102"/>
      <c r="D6" s="102"/>
      <c r="E6" s="102"/>
      <c r="F6" s="102"/>
      <c r="G6" s="102"/>
      <c r="H6" s="102"/>
      <c r="I6" s="103"/>
      <c r="J6" s="103"/>
      <c r="U6" s="103" t="s">
        <v>74</v>
      </c>
      <c r="V6" s="103" t="b">
        <v>1</v>
      </c>
    </row>
    <row r="7" spans="1:22">
      <c r="A7" s="92"/>
      <c r="B7" s="122"/>
      <c r="C7" s="102"/>
      <c r="D7" s="102"/>
      <c r="E7" s="102"/>
      <c r="F7" s="102"/>
      <c r="G7" s="102"/>
      <c r="H7" s="102"/>
      <c r="I7" s="103"/>
      <c r="J7" s="103"/>
      <c r="U7" s="103" t="s">
        <v>11</v>
      </c>
      <c r="V7" s="103" t="b">
        <v>0</v>
      </c>
    </row>
    <row r="8" spans="1:22">
      <c r="A8" s="92"/>
      <c r="B8" s="93" t="s">
        <v>87</v>
      </c>
      <c r="C8" s="102"/>
      <c r="D8" s="102"/>
      <c r="E8" s="102"/>
      <c r="F8" s="102"/>
      <c r="G8" s="102"/>
      <c r="H8" s="102"/>
      <c r="I8" s="103"/>
      <c r="J8" s="103"/>
      <c r="R8" s="73" t="s">
        <v>7</v>
      </c>
      <c r="S8" s="74"/>
      <c r="U8" s="103" t="s">
        <v>12</v>
      </c>
      <c r="V8" s="103" t="b">
        <v>0</v>
      </c>
    </row>
    <row r="9" spans="1:22">
      <c r="A9" s="92"/>
      <c r="B9" s="102"/>
      <c r="C9" s="104" t="s">
        <v>30</v>
      </c>
      <c r="D9" s="102"/>
      <c r="E9" s="102"/>
      <c r="F9" s="102"/>
      <c r="G9" s="102"/>
      <c r="H9" s="102"/>
      <c r="I9" s="103"/>
      <c r="J9" s="103"/>
      <c r="Q9" s="105" t="s">
        <v>34</v>
      </c>
      <c r="R9" s="103">
        <f>VLOOKUP($C$9,'mineral waters lookup'!A:L,2,FALSE)</f>
        <v>30.2</v>
      </c>
      <c r="S9" s="76"/>
      <c r="U9" s="103" t="s">
        <v>82</v>
      </c>
      <c r="V9" s="103" t="b">
        <f>NOT(V7)</f>
        <v>1</v>
      </c>
    </row>
    <row r="10" spans="1:22">
      <c r="A10" s="92"/>
      <c r="B10" s="102"/>
      <c r="C10" s="102"/>
      <c r="D10" s="102"/>
      <c r="E10" s="102"/>
      <c r="F10" s="102"/>
      <c r="G10" s="102"/>
      <c r="H10" s="102"/>
      <c r="I10" s="103"/>
      <c r="J10" s="103"/>
      <c r="Q10" s="105" t="s">
        <v>35</v>
      </c>
      <c r="R10" s="103">
        <f>VLOOKUP($C$9,'mineral waters lookup'!A:L,3,FALSE)</f>
        <v>6.9</v>
      </c>
      <c r="S10" s="76"/>
      <c r="U10" s="103" t="s">
        <v>83</v>
      </c>
      <c r="V10" s="103" t="b">
        <f>NOT(V8)</f>
        <v>1</v>
      </c>
    </row>
    <row r="11" spans="1:22">
      <c r="A11" s="92"/>
      <c r="B11" s="93" t="s">
        <v>130</v>
      </c>
      <c r="C11" s="102"/>
      <c r="D11" s="102"/>
      <c r="E11" s="102"/>
      <c r="F11" s="102"/>
      <c r="G11" s="102"/>
      <c r="H11" s="102"/>
      <c r="I11" s="103"/>
      <c r="J11" s="103"/>
      <c r="Q11" s="105" t="s">
        <v>36</v>
      </c>
      <c r="R11" s="103">
        <f>VLOOKUP($C$9,'mineral waters lookup'!A:L,4,FALSE)</f>
        <v>6.5</v>
      </c>
      <c r="S11" s="76"/>
    </row>
    <row r="12" spans="1:22">
      <c r="A12" s="92"/>
      <c r="B12" s="102"/>
      <c r="C12" s="50"/>
      <c r="D12" s="102"/>
      <c r="E12" s="102"/>
      <c r="F12" s="102"/>
      <c r="G12" s="102"/>
      <c r="H12" s="102"/>
      <c r="I12" s="103"/>
      <c r="J12" s="103"/>
      <c r="Q12" s="105" t="s">
        <v>60</v>
      </c>
      <c r="R12" s="103">
        <f>VLOOKUP($C$9,'mineral waters lookup'!A:L,5,FALSE)</f>
        <v>0.9</v>
      </c>
      <c r="S12" s="76"/>
    </row>
    <row r="13" spans="1:22">
      <c r="A13" s="92"/>
      <c r="B13" s="102"/>
      <c r="C13" s="106" t="s">
        <v>34</v>
      </c>
      <c r="D13" s="60">
        <v>30</v>
      </c>
      <c r="E13" s="50" t="s">
        <v>7</v>
      </c>
      <c r="F13" s="102"/>
      <c r="G13" s="102"/>
      <c r="H13" s="102"/>
      <c r="I13" s="103"/>
      <c r="J13" s="103"/>
      <c r="Q13" s="105" t="s">
        <v>37</v>
      </c>
      <c r="R13" s="103">
        <f>VLOOKUP($C$9,'mineral waters lookup'!A:L,6,FALSE)</f>
        <v>100</v>
      </c>
      <c r="S13" s="76"/>
    </row>
    <row r="14" spans="1:22">
      <c r="A14" s="92"/>
      <c r="B14" s="102"/>
      <c r="C14" s="106" t="s">
        <v>35</v>
      </c>
      <c r="D14" s="60">
        <v>3.2</v>
      </c>
      <c r="E14" s="50" t="s">
        <v>7</v>
      </c>
      <c r="F14" s="102"/>
      <c r="G14" s="102"/>
      <c r="H14" s="102"/>
      <c r="I14" s="103"/>
      <c r="J14" s="103"/>
      <c r="M14" s="77"/>
      <c r="Q14" s="105" t="s">
        <v>38</v>
      </c>
      <c r="R14" s="103">
        <f>VLOOKUP($C$9,'mineral waters lookup'!A:L,7,FALSE)</f>
        <v>21.4</v>
      </c>
      <c r="S14" s="76"/>
      <c r="V14" s="103" t="s">
        <v>8</v>
      </c>
    </row>
    <row r="15" spans="1:22">
      <c r="A15" s="92"/>
      <c r="B15" s="102"/>
      <c r="C15" s="106" t="s">
        <v>36</v>
      </c>
      <c r="D15" s="60">
        <v>9.9</v>
      </c>
      <c r="E15" s="50" t="s">
        <v>7</v>
      </c>
      <c r="F15" s="102"/>
      <c r="G15" s="102"/>
      <c r="H15" s="102"/>
      <c r="I15" s="103"/>
      <c r="J15" s="103"/>
      <c r="M15" s="77"/>
      <c r="Q15" s="105" t="s">
        <v>39</v>
      </c>
      <c r="R15" s="103">
        <f>VLOOKUP($C$9,'mineral waters lookup'!A:L,8,FALSE)</f>
        <v>7.1</v>
      </c>
      <c r="S15" s="76"/>
      <c r="U15" s="103" t="s">
        <v>23</v>
      </c>
      <c r="V15" s="103">
        <v>40.078000000000003</v>
      </c>
    </row>
    <row r="16" spans="1:22">
      <c r="A16" s="92"/>
      <c r="B16" s="102"/>
      <c r="C16" s="106" t="s">
        <v>60</v>
      </c>
      <c r="D16" s="60">
        <v>0</v>
      </c>
      <c r="E16" s="50" t="s">
        <v>7</v>
      </c>
      <c r="F16" s="102"/>
      <c r="G16" s="102"/>
      <c r="H16" s="102"/>
      <c r="I16" s="103"/>
      <c r="J16" s="103"/>
      <c r="Q16" s="105" t="s">
        <v>54</v>
      </c>
      <c r="R16" s="103">
        <f>VLOOKUP($C$9,'mineral waters lookup'!A:L,9,FALSE)</f>
        <v>5.7</v>
      </c>
      <c r="S16" s="76"/>
      <c r="U16" s="103" t="s">
        <v>24</v>
      </c>
      <c r="V16" s="103">
        <v>24.305</v>
      </c>
    </row>
    <row r="17" spans="1:22">
      <c r="A17" s="92"/>
      <c r="B17" s="102"/>
      <c r="C17" s="106" t="s">
        <v>37</v>
      </c>
      <c r="D17" s="60">
        <v>120</v>
      </c>
      <c r="E17" s="50" t="s">
        <v>7</v>
      </c>
      <c r="F17" s="102"/>
      <c r="G17" s="102"/>
      <c r="H17" s="102"/>
      <c r="I17" s="103"/>
      <c r="J17" s="103"/>
      <c r="M17" s="77"/>
      <c r="Q17" s="105" t="s">
        <v>40</v>
      </c>
      <c r="R17" s="103">
        <f>VLOOKUP($C$9,'mineral waters lookup'!A:L,10,FALSE)</f>
        <v>8.0000000000000002E-3</v>
      </c>
      <c r="S17" s="76"/>
      <c r="U17" s="103" t="s">
        <v>21</v>
      </c>
      <c r="V17" s="103">
        <v>22.99</v>
      </c>
    </row>
    <row r="18" spans="1:22">
      <c r="A18" s="92"/>
      <c r="B18" s="102"/>
      <c r="C18" s="106" t="s">
        <v>38</v>
      </c>
      <c r="D18" s="60">
        <v>0</v>
      </c>
      <c r="E18" s="50" t="s">
        <v>7</v>
      </c>
      <c r="F18" s="102"/>
      <c r="G18" s="102"/>
      <c r="H18" s="102"/>
      <c r="I18" s="103"/>
      <c r="J18" s="103"/>
      <c r="Q18" s="105" t="s">
        <v>13</v>
      </c>
      <c r="R18" s="103">
        <f>VLOOKUP($C$9,'mineral waters lookup'!A:L,11,FALSE)</f>
        <v>8.1999999999999993</v>
      </c>
      <c r="S18" s="42"/>
      <c r="U18" s="103" t="s">
        <v>56</v>
      </c>
      <c r="V18" s="103">
        <v>39.097999999999999</v>
      </c>
    </row>
    <row r="19" spans="1:22">
      <c r="A19" s="92"/>
      <c r="B19" s="102"/>
      <c r="C19" s="106" t="s">
        <v>39</v>
      </c>
      <c r="D19" s="60">
        <v>8.1999999999999993</v>
      </c>
      <c r="E19" s="50" t="s">
        <v>7</v>
      </c>
      <c r="F19" s="102"/>
      <c r="G19" s="102"/>
      <c r="H19" s="102"/>
      <c r="I19" s="103"/>
      <c r="J19" s="103"/>
      <c r="Q19" s="105" t="s">
        <v>33</v>
      </c>
      <c r="R19" s="103">
        <f>VLOOKUP($C$9,'mineral waters lookup'!A:L,12,FALSE)</f>
        <v>137</v>
      </c>
      <c r="S19" s="42"/>
      <c r="U19" s="103" t="s">
        <v>22</v>
      </c>
      <c r="V19" s="103">
        <v>61.01</v>
      </c>
    </row>
    <row r="20" spans="1:22">
      <c r="A20" s="92"/>
      <c r="B20" s="102"/>
      <c r="C20" s="106" t="s">
        <v>54</v>
      </c>
      <c r="D20" s="60">
        <v>0</v>
      </c>
      <c r="E20" s="50" t="s">
        <v>7</v>
      </c>
      <c r="F20" s="102"/>
      <c r="G20" s="102"/>
      <c r="H20" s="102"/>
      <c r="I20" s="103"/>
      <c r="J20" s="103"/>
      <c r="U20" s="103" t="s">
        <v>25</v>
      </c>
      <c r="V20" s="103">
        <v>96.06</v>
      </c>
    </row>
    <row r="21" spans="1:22">
      <c r="A21" s="92"/>
      <c r="B21" s="102"/>
      <c r="C21" s="102"/>
      <c r="D21" s="102"/>
      <c r="E21" s="102"/>
      <c r="F21" s="102"/>
      <c r="G21" s="102"/>
      <c r="H21" s="102"/>
      <c r="I21" s="103"/>
      <c r="J21" s="103"/>
      <c r="U21" s="103" t="s">
        <v>26</v>
      </c>
      <c r="V21" s="103">
        <v>35.450000000000003</v>
      </c>
    </row>
    <row r="22" spans="1:22">
      <c r="A22" s="92"/>
      <c r="B22" s="93" t="s">
        <v>129</v>
      </c>
      <c r="C22" s="102"/>
      <c r="D22" s="102"/>
      <c r="E22" s="102"/>
      <c r="F22" s="102"/>
      <c r="G22" s="102"/>
      <c r="H22" s="102"/>
      <c r="I22" s="103"/>
      <c r="J22" s="103"/>
      <c r="U22" s="103" t="s">
        <v>57</v>
      </c>
      <c r="V22" s="103">
        <v>62.004899999999999</v>
      </c>
    </row>
    <row r="23" spans="1:22">
      <c r="A23" s="92"/>
      <c r="B23" s="94"/>
      <c r="C23" s="95"/>
      <c r="D23" s="93"/>
      <c r="E23" s="93"/>
      <c r="F23" s="93"/>
      <c r="G23" s="93"/>
      <c r="H23" s="102"/>
      <c r="I23" s="73"/>
      <c r="J23" s="73"/>
      <c r="R23" s="73" t="s">
        <v>50</v>
      </c>
      <c r="U23" s="103" t="s">
        <v>14</v>
      </c>
      <c r="V23" s="103">
        <v>44</v>
      </c>
    </row>
    <row r="24" spans="1:22">
      <c r="A24" s="92"/>
      <c r="B24" s="102"/>
      <c r="C24" s="96" t="s">
        <v>47</v>
      </c>
      <c r="D24" s="102"/>
      <c r="E24" s="93" t="s">
        <v>48</v>
      </c>
      <c r="F24" s="93" t="s">
        <v>127</v>
      </c>
      <c r="G24" s="93" t="s">
        <v>128</v>
      </c>
      <c r="H24" s="102"/>
      <c r="K24" s="73"/>
      <c r="R24" s="73" t="s">
        <v>7</v>
      </c>
      <c r="S24" s="74" t="s">
        <v>6</v>
      </c>
      <c r="U24" s="103" t="s">
        <v>9</v>
      </c>
      <c r="V24" s="103">
        <v>58.44</v>
      </c>
    </row>
    <row r="25" spans="1:22">
      <c r="A25" s="92"/>
      <c r="B25" s="93"/>
      <c r="C25" s="93" t="s">
        <v>29</v>
      </c>
      <c r="D25" s="93" t="s">
        <v>6</v>
      </c>
      <c r="E25" s="97" t="s">
        <v>45</v>
      </c>
      <c r="F25" s="97" t="s">
        <v>46</v>
      </c>
      <c r="G25" s="97" t="s">
        <v>46</v>
      </c>
      <c r="H25" s="102"/>
      <c r="K25" s="76"/>
      <c r="Q25" s="105" t="s">
        <v>34</v>
      </c>
      <c r="R25" s="103">
        <f>IF(R9-Ca_p&gt;0,R9-Ca_p,0)</f>
        <v>0.19999999999999929</v>
      </c>
      <c r="S25" s="76">
        <f t="shared" ref="S25:S32" si="0">R25/V15</f>
        <v>4.9902689754977615E-3</v>
      </c>
      <c r="U25" s="103" t="s">
        <v>10</v>
      </c>
      <c r="V25" s="103">
        <v>84.01</v>
      </c>
    </row>
    <row r="26" spans="1:22">
      <c r="A26" s="92"/>
      <c r="B26" s="83"/>
      <c r="C26" s="83" t="s">
        <v>9</v>
      </c>
      <c r="D26" s="84">
        <f>IF(Na_t&gt;Cl_t,Cl_t,Na_t)</f>
        <v>0</v>
      </c>
      <c r="E26" s="85">
        <f>sodium_chloride*V24</f>
        <v>0</v>
      </c>
      <c r="F26" s="86">
        <f t="shared" ref="F26:F36" si="1">10*E26/1000</f>
        <v>0</v>
      </c>
      <c r="G26" s="87">
        <f>100*E26/1000</f>
        <v>0</v>
      </c>
      <c r="H26" s="102"/>
      <c r="K26" s="76"/>
      <c r="Q26" s="105" t="s">
        <v>35</v>
      </c>
      <c r="R26" s="103">
        <f>IF(R10-Mg_p&gt;0,R10-Mg_p,0)</f>
        <v>3.7</v>
      </c>
      <c r="S26" s="76">
        <f t="shared" si="0"/>
        <v>0.152232051018309</v>
      </c>
      <c r="U26" s="103" t="s">
        <v>28</v>
      </c>
      <c r="V26" s="103">
        <v>246.47</v>
      </c>
    </row>
    <row r="27" spans="1:22">
      <c r="A27" s="92"/>
      <c r="B27" s="84"/>
      <c r="C27" s="84" t="s">
        <v>10</v>
      </c>
      <c r="D27" s="84">
        <f>IF(Na_t- sodium_chloride&gt;0,Na_t-sodium_chloride,0)</f>
        <v>0</v>
      </c>
      <c r="E27" s="85">
        <f>sodium_bicarbonate*V25</f>
        <v>0</v>
      </c>
      <c r="F27" s="86">
        <f t="shared" si="1"/>
        <v>0</v>
      </c>
      <c r="G27" s="87">
        <f t="shared" ref="G27:G36" si="2">100*E27/1000</f>
        <v>0</v>
      </c>
      <c r="H27" s="102"/>
      <c r="K27" s="76"/>
      <c r="Q27" s="105" t="s">
        <v>36</v>
      </c>
      <c r="R27" s="103">
        <f>IF(R11-Na_p&gt;0,R11-Na_p,0)</f>
        <v>0</v>
      </c>
      <c r="S27" s="76">
        <f t="shared" si="0"/>
        <v>0</v>
      </c>
      <c r="U27" s="103" t="s">
        <v>100</v>
      </c>
      <c r="V27" s="103">
        <v>145.15</v>
      </c>
    </row>
    <row r="28" spans="1:22">
      <c r="A28" s="92"/>
      <c r="B28" s="88"/>
      <c r="C28" s="88" t="s">
        <v>61</v>
      </c>
      <c r="D28" s="88">
        <f>IF(V4,K_t,0)</f>
        <v>2.3019080259859839E-2</v>
      </c>
      <c r="E28" s="89">
        <f>potassium_bicarbonate*V31</f>
        <v>2.3045552202158679</v>
      </c>
      <c r="F28" s="86">
        <f t="shared" si="1"/>
        <v>2.3045552202158679E-2</v>
      </c>
      <c r="G28" s="87">
        <f t="shared" si="2"/>
        <v>0.23045552202158681</v>
      </c>
      <c r="H28" s="102"/>
      <c r="K28" s="76"/>
      <c r="Q28" s="105" t="s">
        <v>60</v>
      </c>
      <c r="R28" s="103">
        <f>IF(R12-K_p&gt;0,R12-K_p,0)</f>
        <v>0.9</v>
      </c>
      <c r="S28" s="76">
        <f t="shared" si="0"/>
        <v>2.3019080259859839E-2</v>
      </c>
      <c r="U28" s="103" t="s">
        <v>11</v>
      </c>
      <c r="V28" s="103">
        <v>58.319699999999997</v>
      </c>
    </row>
    <row r="29" spans="1:22">
      <c r="A29" s="92"/>
      <c r="B29" s="84"/>
      <c r="C29" s="84" t="s">
        <v>74</v>
      </c>
      <c r="D29" s="84">
        <f>IF(V6,(Cl_t-sodium_chloride)/2,0)</f>
        <v>0</v>
      </c>
      <c r="E29" s="85">
        <f>magnesium_chloride*V32</f>
        <v>0</v>
      </c>
      <c r="F29" s="86">
        <f t="shared" si="1"/>
        <v>0</v>
      </c>
      <c r="G29" s="87">
        <f t="shared" si="2"/>
        <v>0</v>
      </c>
      <c r="H29" s="102"/>
      <c r="K29" s="76"/>
      <c r="Q29" s="105" t="s">
        <v>37</v>
      </c>
      <c r="R29" s="103">
        <f>IF(R13-bicarbonate_p&gt;0,R13-bicarbonate_p,0)</f>
        <v>0</v>
      </c>
      <c r="S29" s="76">
        <f t="shared" si="0"/>
        <v>0</v>
      </c>
      <c r="U29" s="103" t="s">
        <v>12</v>
      </c>
      <c r="V29" s="103">
        <v>74.093000000000004</v>
      </c>
    </row>
    <row r="30" spans="1:22">
      <c r="A30" s="92"/>
      <c r="B30" s="84"/>
      <c r="C30" s="84" t="s">
        <v>63</v>
      </c>
      <c r="D30" s="84">
        <f>IF(V5,S32/2,0)</f>
        <v>4.5964109288136906E-2</v>
      </c>
      <c r="E30" s="85">
        <f>calcium_nitrate*V30</f>
        <v>10.85442440839353</v>
      </c>
      <c r="F30" s="86">
        <f t="shared" si="1"/>
        <v>0.1085442440839353</v>
      </c>
      <c r="G30" s="87">
        <f t="shared" si="2"/>
        <v>1.085442440839353</v>
      </c>
      <c r="H30" s="102"/>
      <c r="K30" s="76"/>
      <c r="Q30" s="105" t="s">
        <v>38</v>
      </c>
      <c r="R30" s="103">
        <f>IF(R14-sulfate_p&gt;0,R14-sulfate_p,0)</f>
        <v>21.4</v>
      </c>
      <c r="S30" s="76">
        <f t="shared" si="0"/>
        <v>0.22277743077243387</v>
      </c>
      <c r="U30" s="103" t="s">
        <v>63</v>
      </c>
      <c r="V30" s="103">
        <v>236.15</v>
      </c>
    </row>
    <row r="31" spans="1:22">
      <c r="A31" s="92"/>
      <c r="B31" s="84"/>
      <c r="C31" s="84" t="s">
        <v>27</v>
      </c>
      <c r="D31" s="84">
        <f>IF(sulfate_t-magnesium_chloride&lt;Mg_t,IF(sulfate_t-magnesium_chloride&gt;0,sulfate_t-magnesium_chloride,0),IF(Mg_t-magnesium_chloride&gt;0,Mg_t-magnesium_chloride,0))</f>
        <v>0.152232051018309</v>
      </c>
      <c r="E31" s="85">
        <f>magnesium_sulfate*V26</f>
        <v>37.52063361448262</v>
      </c>
      <c r="F31" s="86">
        <f t="shared" si="1"/>
        <v>0.37520633614482618</v>
      </c>
      <c r="G31" s="87">
        <f t="shared" si="2"/>
        <v>3.7520633614482621</v>
      </c>
      <c r="H31" s="102"/>
      <c r="K31" s="76"/>
      <c r="O31" s="73"/>
      <c r="Q31" s="105" t="s">
        <v>39</v>
      </c>
      <c r="R31" s="103">
        <f>IF(R15-chloride_p&gt;0,R15-chloride_p,0)</f>
        <v>0</v>
      </c>
      <c r="S31" s="76">
        <f t="shared" si="0"/>
        <v>0</v>
      </c>
      <c r="U31" s="103" t="s">
        <v>61</v>
      </c>
      <c r="V31" s="103">
        <v>100.11499999999999</v>
      </c>
    </row>
    <row r="32" spans="1:22">
      <c r="A32" s="92"/>
      <c r="B32" s="84"/>
      <c r="C32" s="84" t="s">
        <v>100</v>
      </c>
      <c r="D32" s="84">
        <f>IF(sulfate_t-magnesium_sulfate&gt;0,sulfate_t-magnesium_sulfate,0)</f>
        <v>7.0545379754124865E-2</v>
      </c>
      <c r="E32" s="85">
        <f>calcium_sulfate*V27</f>
        <v>10.239661871311224</v>
      </c>
      <c r="F32" s="86">
        <f t="shared" si="1"/>
        <v>0.10239661871311224</v>
      </c>
      <c r="G32" s="87">
        <f t="shared" si="2"/>
        <v>1.0239661871311223</v>
      </c>
      <c r="H32" s="102"/>
      <c r="K32" s="76"/>
      <c r="O32" s="73"/>
      <c r="Q32" s="105" t="s">
        <v>54</v>
      </c>
      <c r="R32" s="103">
        <f>IF(R16-nitrate_p&gt;0,R16-nitrate_p,0)</f>
        <v>5.7</v>
      </c>
      <c r="S32" s="76">
        <f t="shared" si="0"/>
        <v>9.1928218576273812E-2</v>
      </c>
      <c r="U32" s="103" t="s">
        <v>75</v>
      </c>
      <c r="V32" s="103">
        <v>203.31</v>
      </c>
    </row>
    <row r="33" spans="1:22">
      <c r="A33" s="92"/>
      <c r="B33" s="84"/>
      <c r="C33" s="84" t="s">
        <v>11</v>
      </c>
      <c r="D33" s="84">
        <f>IF(V7,IF(Mg_t-magnesium_sulfate-magnesium_chloride&gt;0,Mg_t-magnesium_sulfate-magnesium_chloride,0),0)</f>
        <v>0</v>
      </c>
      <c r="E33" s="85">
        <f>magnesium_hydroxide*V28</f>
        <v>0</v>
      </c>
      <c r="F33" s="86">
        <f t="shared" si="1"/>
        <v>0</v>
      </c>
      <c r="G33" s="87">
        <f t="shared" si="2"/>
        <v>0</v>
      </c>
      <c r="H33" s="102"/>
      <c r="I33" s="105"/>
      <c r="J33" s="82"/>
      <c r="K33" s="76"/>
      <c r="S33" s="42"/>
      <c r="U33" s="103" t="s">
        <v>83</v>
      </c>
      <c r="V33" s="103">
        <v>100.08</v>
      </c>
    </row>
    <row r="34" spans="1:22">
      <c r="A34" s="92"/>
      <c r="B34" s="84"/>
      <c r="C34" s="84" t="s">
        <v>12</v>
      </c>
      <c r="D34" s="84">
        <f>IF(V8,IF(Ca_t-calcium_sulfate-calcium_nitrate&gt;0,Ca_t-calcium_sulfate-calcium_nitrate,0),0)</f>
        <v>0</v>
      </c>
      <c r="E34" s="85">
        <f>calcium_hydroxide*V29</f>
        <v>0</v>
      </c>
      <c r="F34" s="86">
        <f t="shared" si="1"/>
        <v>0</v>
      </c>
      <c r="G34" s="87">
        <f t="shared" si="2"/>
        <v>0</v>
      </c>
      <c r="H34" s="102"/>
      <c r="I34" s="103"/>
      <c r="J34" s="103"/>
      <c r="K34" s="114"/>
      <c r="O34" s="107"/>
      <c r="S34" s="42"/>
      <c r="U34" s="103" t="s">
        <v>82</v>
      </c>
      <c r="V34" s="103">
        <v>84.31</v>
      </c>
    </row>
    <row r="35" spans="1:22">
      <c r="A35" s="92"/>
      <c r="B35" s="84"/>
      <c r="C35" s="84" t="s">
        <v>82</v>
      </c>
      <c r="D35" s="84">
        <f>IF(V9,IF(Mg_t-magnesium_sulfate-magnesium_chloride&gt;0,Mg_t-magnesium_sulfate-magnesium_chloride,0),0)</f>
        <v>0</v>
      </c>
      <c r="E35" s="85">
        <f>magnesium_carbonate*V34</f>
        <v>0</v>
      </c>
      <c r="F35" s="86">
        <f t="shared" si="1"/>
        <v>0</v>
      </c>
      <c r="G35" s="87">
        <f t="shared" si="2"/>
        <v>0</v>
      </c>
      <c r="H35" s="102"/>
      <c r="I35" s="103"/>
      <c r="J35" s="103"/>
      <c r="K35" s="114"/>
      <c r="O35" s="107"/>
    </row>
    <row r="36" spans="1:22">
      <c r="A36" s="92"/>
      <c r="B36" s="90"/>
      <c r="C36" s="90" t="s">
        <v>83</v>
      </c>
      <c r="D36" s="90">
        <f>IF(V10,IF(Ca_t-calcium_sulfate-calcium_nitrate&gt;0,Ca_t-calcium_sulfate-calcium_nitrate,0),0)</f>
        <v>0</v>
      </c>
      <c r="E36" s="91">
        <f>calcium_carbonate*V33</f>
        <v>0</v>
      </c>
      <c r="F36" s="86">
        <f t="shared" si="1"/>
        <v>0</v>
      </c>
      <c r="G36" s="87">
        <f t="shared" si="2"/>
        <v>0</v>
      </c>
      <c r="H36" s="102"/>
      <c r="K36" s="42"/>
      <c r="O36" s="107"/>
    </row>
    <row r="37" spans="1:22" ht="15.75" thickBot="1">
      <c r="A37" s="92"/>
      <c r="B37" s="98"/>
      <c r="C37" s="99" t="s">
        <v>97</v>
      </c>
      <c r="D37" s="108">
        <f>SUM(D26:D36)</f>
        <v>0.2917606203204306</v>
      </c>
      <c r="E37" s="109">
        <f>SUM(E26:E36)</f>
        <v>60.919275114403248</v>
      </c>
      <c r="F37" s="108">
        <f>SUM(F26:F36)</f>
        <v>0.60919275114403237</v>
      </c>
      <c r="G37" s="110">
        <f>SUM(G26:G36)</f>
        <v>6.0919275114403248</v>
      </c>
      <c r="H37" s="102"/>
      <c r="K37" s="42"/>
      <c r="O37" s="107"/>
    </row>
    <row r="38" spans="1:22" ht="15.75" thickTop="1">
      <c r="A38" s="92"/>
      <c r="B38" s="100" t="s">
        <v>92</v>
      </c>
      <c r="C38" s="101"/>
      <c r="D38" s="111"/>
      <c r="E38" s="112"/>
      <c r="F38" s="113"/>
      <c r="G38" s="102"/>
      <c r="H38" s="50"/>
      <c r="O38" s="79"/>
    </row>
    <row r="39" spans="1:22">
      <c r="A39" s="92"/>
      <c r="B39" s="75"/>
      <c r="C39" s="102"/>
      <c r="D39" s="102"/>
      <c r="E39" s="102"/>
      <c r="F39" s="102"/>
      <c r="G39" s="102"/>
      <c r="H39" s="102"/>
      <c r="I39" s="103"/>
      <c r="J39" s="103"/>
      <c r="O39" s="79"/>
    </row>
    <row r="40" spans="1:22">
      <c r="A40" s="92"/>
      <c r="C40" s="102"/>
      <c r="D40" s="102"/>
      <c r="E40" s="102"/>
      <c r="F40" s="102"/>
      <c r="G40" s="102"/>
      <c r="H40" s="102"/>
      <c r="I40" s="103"/>
      <c r="J40" s="103"/>
      <c r="O40" s="79"/>
    </row>
    <row r="41" spans="1:22">
      <c r="A41" s="92"/>
      <c r="B41" s="93" t="s">
        <v>131</v>
      </c>
      <c r="C41" s="102"/>
      <c r="D41" s="102"/>
      <c r="E41" s="102"/>
      <c r="F41" s="102"/>
      <c r="G41" s="102"/>
      <c r="H41" s="102"/>
      <c r="I41" s="103"/>
      <c r="J41" s="103"/>
      <c r="O41" s="79"/>
    </row>
    <row r="42" spans="1:22">
      <c r="A42" s="92"/>
      <c r="B42" s="102"/>
      <c r="C42" s="102"/>
      <c r="D42" s="102"/>
      <c r="E42" s="102"/>
      <c r="F42" s="102"/>
      <c r="G42" s="102"/>
      <c r="H42" s="102"/>
      <c r="I42" s="103"/>
      <c r="J42" s="103"/>
      <c r="O42" s="79"/>
    </row>
    <row r="43" spans="1:22">
      <c r="A43" s="92"/>
      <c r="B43" s="102"/>
      <c r="C43" s="102"/>
      <c r="D43" s="102"/>
      <c r="E43" s="102"/>
      <c r="F43" s="102"/>
      <c r="G43" s="102"/>
      <c r="H43" s="50"/>
      <c r="O43" s="79"/>
    </row>
    <row r="44" spans="1:22">
      <c r="A44" s="92"/>
      <c r="B44" s="102"/>
      <c r="C44" s="102"/>
      <c r="D44" s="102"/>
      <c r="E44" s="102"/>
      <c r="F44" s="102"/>
      <c r="G44" s="102"/>
      <c r="H44" s="50"/>
      <c r="O44" s="79"/>
    </row>
    <row r="45" spans="1:22">
      <c r="O45" s="79"/>
    </row>
    <row r="46" spans="1:22">
      <c r="F46" s="73"/>
      <c r="G46" s="73"/>
      <c r="H46" s="74"/>
      <c r="I46" s="74"/>
    </row>
    <row r="48" spans="1:22">
      <c r="E48" s="42"/>
      <c r="F48" s="42"/>
      <c r="G48" s="74"/>
      <c r="H48" s="74"/>
    </row>
    <row r="49" spans="2:9">
      <c r="E49" s="42"/>
      <c r="F49" s="105"/>
      <c r="G49" s="78"/>
      <c r="H49" s="76"/>
      <c r="I49" s="76"/>
    </row>
    <row r="50" spans="2:9">
      <c r="E50" s="42"/>
      <c r="F50" s="105"/>
      <c r="G50" s="78"/>
      <c r="H50" s="76"/>
      <c r="I50" s="76"/>
    </row>
    <row r="51" spans="2:9">
      <c r="E51" s="42"/>
      <c r="F51" s="105"/>
      <c r="G51" s="78"/>
      <c r="H51" s="76"/>
      <c r="I51" s="76"/>
    </row>
    <row r="52" spans="2:9">
      <c r="E52" s="42"/>
      <c r="F52" s="105"/>
      <c r="G52" s="78"/>
      <c r="H52" s="76"/>
      <c r="I52" s="76"/>
    </row>
    <row r="53" spans="2:9">
      <c r="E53" s="42"/>
      <c r="F53" s="105"/>
      <c r="G53" s="78"/>
      <c r="H53" s="76"/>
      <c r="I53" s="76"/>
    </row>
    <row r="54" spans="2:9">
      <c r="E54" s="42"/>
      <c r="F54" s="105"/>
      <c r="G54" s="78"/>
      <c r="H54" s="76"/>
      <c r="I54" s="76"/>
    </row>
    <row r="55" spans="2:9">
      <c r="E55" s="42"/>
      <c r="F55" s="105"/>
      <c r="G55" s="78"/>
      <c r="H55" s="76"/>
      <c r="I55" s="76"/>
    </row>
    <row r="56" spans="2:9">
      <c r="E56" s="42"/>
      <c r="F56" s="105"/>
      <c r="G56" s="78"/>
      <c r="H56" s="76"/>
      <c r="I56" s="76"/>
    </row>
    <row r="57" spans="2:9">
      <c r="E57" s="42"/>
      <c r="F57" s="105"/>
      <c r="G57" s="78"/>
      <c r="H57" s="76"/>
      <c r="I57" s="76"/>
    </row>
    <row r="58" spans="2:9">
      <c r="E58" s="42"/>
      <c r="F58" s="105"/>
      <c r="G58" s="76"/>
      <c r="H58" s="76"/>
      <c r="I58" s="76"/>
    </row>
    <row r="59" spans="2:9">
      <c r="E59" s="42"/>
      <c r="F59" s="105"/>
      <c r="G59" s="78"/>
      <c r="H59" s="76"/>
      <c r="I59" s="76"/>
    </row>
    <row r="60" spans="2:9">
      <c r="E60" s="42"/>
      <c r="F60" s="42"/>
      <c r="G60" s="42"/>
      <c r="I60" s="76"/>
    </row>
    <row r="61" spans="2:9">
      <c r="E61" s="42"/>
      <c r="G61" s="42"/>
      <c r="I61" s="76"/>
    </row>
    <row r="62" spans="2:9">
      <c r="E62" s="42"/>
      <c r="G62" s="42"/>
      <c r="I62" s="76"/>
    </row>
    <row r="63" spans="2:9">
      <c r="B63" s="75"/>
      <c r="D63" s="42"/>
      <c r="E63" s="73"/>
      <c r="F63" s="75"/>
      <c r="G63" s="42"/>
      <c r="I63" s="76"/>
    </row>
    <row r="64" spans="2:9">
      <c r="B64" s="75"/>
      <c r="D64" s="42"/>
      <c r="E64" s="73"/>
      <c r="I64" s="76"/>
    </row>
    <row r="65" spans="4:11">
      <c r="D65" s="42"/>
      <c r="E65" s="73"/>
      <c r="I65" s="76"/>
    </row>
    <row r="66" spans="4:11">
      <c r="D66" s="42"/>
      <c r="E66" s="73"/>
      <c r="I66" s="76"/>
    </row>
    <row r="67" spans="4:11">
      <c r="D67" s="42"/>
      <c r="E67" s="73"/>
      <c r="I67" s="76"/>
    </row>
    <row r="68" spans="4:11">
      <c r="D68" s="42"/>
      <c r="E68" s="73"/>
    </row>
    <row r="69" spans="4:11">
      <c r="D69" s="42"/>
      <c r="E69" s="73"/>
    </row>
    <row r="70" spans="4:11">
      <c r="D70" s="42"/>
      <c r="E70" s="73"/>
    </row>
    <row r="71" spans="4:11">
      <c r="D71" s="42"/>
      <c r="E71" s="73"/>
    </row>
    <row r="72" spans="4:11">
      <c r="D72" s="42"/>
      <c r="E72" s="73"/>
    </row>
    <row r="73" spans="4:11">
      <c r="D73" s="42"/>
      <c r="E73" s="73"/>
    </row>
    <row r="74" spans="4:11">
      <c r="D74" s="42"/>
      <c r="E74" s="73"/>
    </row>
    <row r="75" spans="4:11">
      <c r="D75" s="42"/>
      <c r="E75" s="73"/>
    </row>
    <row r="76" spans="4:11">
      <c r="D76" s="42"/>
      <c r="E76" s="73"/>
    </row>
    <row r="77" spans="4:11">
      <c r="D77" s="42"/>
      <c r="E77" s="73"/>
    </row>
    <row r="79" spans="4:11">
      <c r="H79" s="103"/>
    </row>
    <row r="80" spans="4:11">
      <c r="H80" s="103"/>
      <c r="K80" s="42"/>
    </row>
    <row r="81" spans="2:11">
      <c r="H81" s="103"/>
      <c r="K81" s="42"/>
    </row>
    <row r="82" spans="2:11">
      <c r="B82" s="73"/>
      <c r="H82" s="103"/>
      <c r="K82" s="42"/>
    </row>
    <row r="83" spans="2:11">
      <c r="B83" s="80"/>
    </row>
    <row r="84" spans="2:11">
      <c r="B84" s="80"/>
    </row>
    <row r="85" spans="2:11">
      <c r="B85" s="80"/>
    </row>
    <row r="86" spans="2:11">
      <c r="B86" s="80"/>
      <c r="I86" s="103"/>
    </row>
    <row r="87" spans="2:11">
      <c r="B87" s="80"/>
      <c r="I87" s="103"/>
    </row>
    <row r="88" spans="2:11">
      <c r="B88" s="80"/>
      <c r="I88" s="103"/>
    </row>
    <row r="89" spans="2:11">
      <c r="B89" s="80"/>
      <c r="I89" s="103"/>
    </row>
    <row r="90" spans="2:11">
      <c r="B90" s="80"/>
    </row>
    <row r="91" spans="2:11">
      <c r="B91" s="80"/>
    </row>
  </sheetData>
  <conditionalFormatting sqref="S34">
    <cfRule type="expression" dxfId="12" priority="8">
      <formula>($S$34-$S$33)&gt;0</formula>
    </cfRule>
  </conditionalFormatting>
  <conditionalFormatting sqref="S33">
    <cfRule type="expression" dxfId="11" priority="7">
      <formula>($S$33-$S$34)&gt;0</formula>
    </cfRule>
  </conditionalFormatting>
  <conditionalFormatting sqref="B26:G36">
    <cfRule type="expression" dxfId="10" priority="11">
      <formula>$D26&gt;0</formula>
    </cfRule>
  </conditionalFormatting>
  <conditionalFormatting sqref="H49:H56">
    <cfRule type="expression" dxfId="9" priority="15">
      <formula>ABS(ROUND(H49,2)-ROUND(S9,2))&gt;0</formula>
    </cfRule>
  </conditionalFormatting>
  <dataValidations count="2">
    <dataValidation type="list" allowBlank="1" showInputMessage="1" showErrorMessage="1" sqref="C10">
      <formula1>'mineral waters lookup'!A:A</formula1>
    </dataValidation>
    <dataValidation type="list" allowBlank="1" showInputMessage="1" showErrorMessage="1" sqref="C9">
      <formula1>'mineral waters lookup'!A2:A50</formula1>
    </dataValidation>
  </dataValidations>
  <hyperlinks>
    <hyperlink ref="B4" r:id="rId1"/>
    <hyperlink ref="B6" r:id="rId2"/>
    <hyperlink ref="B5" r:id="rId3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4"/>
  <ignoredErrors>
    <ignoredError sqref="D34:D35" formula="1"/>
  </ignoredError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71"/>
  <sheetViews>
    <sheetView zoomScaleNormal="100" workbookViewId="0">
      <selection activeCell="B35" sqref="B35"/>
    </sheetView>
  </sheetViews>
  <sheetFormatPr defaultRowHeight="15"/>
  <cols>
    <col min="1" max="1" width="4.28515625" customWidth="1"/>
    <col min="2" max="2" width="15.5703125" customWidth="1"/>
    <col min="3" max="3" width="23.5703125" customWidth="1"/>
    <col min="4" max="4" width="11.5703125" customWidth="1"/>
    <col min="5" max="5" width="2.28515625" style="3" customWidth="1"/>
    <col min="6" max="6" width="21.28515625" customWidth="1"/>
    <col min="7" max="7" width="11.85546875" customWidth="1"/>
    <col min="8" max="8" width="12.28515625" style="1" customWidth="1"/>
    <col min="9" max="9" width="2.140625" style="1" customWidth="1"/>
    <col min="10" max="10" width="3.5703125" style="1" customWidth="1"/>
    <col min="11" max="11" width="16.5703125" customWidth="1"/>
    <col min="14" max="14" width="9.140625" customWidth="1"/>
    <col min="15" max="15" width="2.85546875" customWidth="1"/>
    <col min="16" max="16" width="2" customWidth="1"/>
    <col min="17" max="17" width="17.28515625" customWidth="1"/>
    <col min="18" max="18" width="11.42578125" customWidth="1"/>
    <col min="20" max="20" width="8.42578125" customWidth="1"/>
    <col min="21" max="21" width="15" customWidth="1"/>
    <col min="23" max="23" width="16.28515625" customWidth="1"/>
  </cols>
  <sheetData>
    <row r="1" spans="1:29">
      <c r="A1" s="18"/>
      <c r="B1" s="18"/>
      <c r="C1" s="18"/>
      <c r="D1" s="18"/>
      <c r="E1" s="18"/>
      <c r="F1" s="18"/>
      <c r="G1" s="18"/>
      <c r="H1" s="19"/>
      <c r="I1" s="19"/>
      <c r="J1" s="19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9">
      <c r="A2" s="18"/>
      <c r="B2" s="20" t="s">
        <v>90</v>
      </c>
      <c r="C2" s="18"/>
      <c r="D2" s="18"/>
      <c r="E2" s="18"/>
      <c r="F2" s="18"/>
      <c r="G2" s="18"/>
      <c r="H2" s="19"/>
      <c r="I2" s="19"/>
      <c r="J2" s="19"/>
      <c r="K2" s="18"/>
      <c r="L2" s="18"/>
      <c r="M2" s="18"/>
      <c r="N2" s="18"/>
      <c r="O2" s="18"/>
      <c r="P2" s="18"/>
      <c r="Q2" s="18"/>
      <c r="R2" s="18"/>
      <c r="S2" s="18"/>
      <c r="T2" s="18"/>
      <c r="U2" s="18" t="s">
        <v>58</v>
      </c>
      <c r="V2" s="18" t="b">
        <v>0</v>
      </c>
      <c r="W2" s="18"/>
      <c r="X2" s="3"/>
      <c r="Y2" s="3"/>
      <c r="Z2" s="3"/>
      <c r="AA2" s="3"/>
      <c r="AB2" s="3"/>
      <c r="AC2" s="3"/>
    </row>
    <row r="3" spans="1:29">
      <c r="A3" s="18"/>
      <c r="B3" s="2" t="s">
        <v>111</v>
      </c>
      <c r="C3" s="2"/>
      <c r="D3" s="2"/>
      <c r="E3" s="2"/>
      <c r="F3" s="2"/>
      <c r="G3" s="2"/>
      <c r="H3" s="10"/>
      <c r="I3" s="10"/>
      <c r="J3" s="10"/>
      <c r="K3" s="2"/>
      <c r="L3" s="2"/>
      <c r="M3" s="2"/>
      <c r="N3" s="2"/>
      <c r="O3" s="18"/>
      <c r="P3" s="18"/>
      <c r="Q3" s="18"/>
      <c r="R3" s="18"/>
      <c r="S3" s="18"/>
      <c r="T3" s="18"/>
      <c r="U3" s="18" t="s">
        <v>59</v>
      </c>
      <c r="V3" s="18" t="b">
        <v>0</v>
      </c>
      <c r="W3" s="18"/>
      <c r="X3" s="3"/>
      <c r="Y3" s="3"/>
      <c r="Z3" s="3"/>
      <c r="AA3" s="3"/>
      <c r="AB3" s="3"/>
      <c r="AC3" s="3"/>
    </row>
    <row r="4" spans="1:29">
      <c r="A4" s="18"/>
      <c r="B4" s="4" t="s">
        <v>87</v>
      </c>
      <c r="C4" s="4"/>
      <c r="D4" s="4"/>
      <c r="E4" s="4"/>
      <c r="F4" s="4"/>
      <c r="G4" s="4"/>
      <c r="H4" s="5"/>
      <c r="I4" s="5"/>
      <c r="J4" s="5"/>
      <c r="K4" s="4"/>
      <c r="L4" s="4"/>
      <c r="M4" s="4"/>
      <c r="N4" s="4"/>
      <c r="O4" s="18"/>
      <c r="P4" s="18"/>
      <c r="Q4" s="18"/>
      <c r="R4" s="18"/>
      <c r="S4" s="18"/>
      <c r="T4" s="18"/>
      <c r="U4" s="18" t="s">
        <v>74</v>
      </c>
      <c r="V4" s="18" t="b">
        <v>0</v>
      </c>
      <c r="W4" s="18"/>
      <c r="X4" s="3"/>
      <c r="Y4" s="3"/>
      <c r="Z4" s="3"/>
      <c r="AA4" s="3"/>
      <c r="AB4" s="3"/>
      <c r="AC4" s="3"/>
    </row>
    <row r="5" spans="1:29">
      <c r="A5" s="18"/>
      <c r="B5" s="8" t="s">
        <v>89</v>
      </c>
      <c r="C5" s="8"/>
      <c r="D5" s="8"/>
      <c r="E5" s="8"/>
      <c r="F5" s="8"/>
      <c r="G5" s="8"/>
      <c r="H5" s="9"/>
      <c r="I5" s="9"/>
      <c r="J5" s="9"/>
      <c r="K5" s="8"/>
      <c r="L5" s="8"/>
      <c r="M5" s="8"/>
      <c r="N5" s="8"/>
      <c r="O5" s="18"/>
      <c r="P5" s="18"/>
      <c r="Q5" s="18"/>
      <c r="R5" s="18"/>
      <c r="S5" s="18"/>
      <c r="T5" s="18"/>
      <c r="U5" s="18" t="s">
        <v>11</v>
      </c>
      <c r="V5" s="18" t="b">
        <v>0</v>
      </c>
      <c r="W5" s="18"/>
      <c r="X5" s="3"/>
      <c r="Y5" s="3"/>
      <c r="Z5" s="3"/>
      <c r="AA5" s="3"/>
      <c r="AB5" s="3"/>
      <c r="AC5" s="3"/>
    </row>
    <row r="6" spans="1:29">
      <c r="A6" s="18"/>
      <c r="B6" s="11" t="s">
        <v>88</v>
      </c>
      <c r="C6" s="11"/>
      <c r="D6" s="11"/>
      <c r="E6" s="11"/>
      <c r="F6" s="11"/>
      <c r="G6" s="11"/>
      <c r="H6" s="6"/>
      <c r="I6" s="6"/>
      <c r="J6" s="6"/>
      <c r="K6" s="11"/>
      <c r="L6" s="11"/>
      <c r="M6" s="11"/>
      <c r="N6" s="11"/>
      <c r="O6" s="18"/>
      <c r="P6" s="18"/>
      <c r="Q6" s="18"/>
      <c r="R6" s="18"/>
      <c r="S6" s="18"/>
      <c r="T6" s="18"/>
      <c r="U6" s="18" t="s">
        <v>12</v>
      </c>
      <c r="V6" s="18" t="b">
        <v>0</v>
      </c>
      <c r="W6" s="18"/>
      <c r="X6" s="3"/>
      <c r="Y6" s="3"/>
      <c r="Z6" s="3"/>
      <c r="AA6" s="3"/>
      <c r="AB6" s="3"/>
      <c r="AC6" s="3"/>
    </row>
    <row r="7" spans="1:29">
      <c r="A7" s="18"/>
      <c r="B7" s="30" t="s">
        <v>112</v>
      </c>
      <c r="C7" s="30"/>
      <c r="D7" s="30"/>
      <c r="E7" s="30"/>
      <c r="F7" s="30"/>
      <c r="G7" s="30"/>
      <c r="H7" s="31"/>
      <c r="I7" s="31"/>
      <c r="J7" s="31"/>
      <c r="K7" s="30"/>
      <c r="L7" s="30"/>
      <c r="M7" s="30"/>
      <c r="N7" s="30"/>
      <c r="O7" s="18"/>
      <c r="P7" s="18"/>
      <c r="Q7" s="18"/>
      <c r="R7" s="18"/>
      <c r="S7" s="18"/>
      <c r="T7" s="18"/>
      <c r="U7" s="18" t="s">
        <v>82</v>
      </c>
      <c r="V7" s="18" t="b">
        <f>NOT(V5)</f>
        <v>1</v>
      </c>
      <c r="W7" s="18"/>
      <c r="X7" s="3"/>
      <c r="Y7" s="3"/>
      <c r="Z7" s="3"/>
      <c r="AA7" s="3"/>
      <c r="AB7" s="3"/>
      <c r="AC7" s="3"/>
    </row>
    <row r="8" spans="1:29">
      <c r="A8" s="18"/>
      <c r="B8" s="33" t="s">
        <v>98</v>
      </c>
      <c r="C8" s="33"/>
      <c r="D8" s="33"/>
      <c r="E8" s="33"/>
      <c r="F8" s="33"/>
      <c r="G8" s="33"/>
      <c r="H8" s="34"/>
      <c r="I8" s="34"/>
      <c r="J8" s="34"/>
      <c r="K8" s="33"/>
      <c r="L8" s="33"/>
      <c r="M8" s="33"/>
      <c r="N8" s="33"/>
      <c r="O8" s="18"/>
      <c r="P8" s="18"/>
      <c r="Q8" s="18"/>
      <c r="R8" s="18"/>
      <c r="S8" s="18"/>
      <c r="T8" s="18"/>
      <c r="U8" s="18" t="s">
        <v>83</v>
      </c>
      <c r="V8" s="18" t="b">
        <f>NOT(V6)</f>
        <v>1</v>
      </c>
      <c r="W8" s="18"/>
      <c r="X8" s="3"/>
      <c r="Y8" s="3"/>
      <c r="Z8" s="3"/>
      <c r="AA8" s="3"/>
      <c r="AB8" s="3"/>
      <c r="AC8" s="3"/>
    </row>
    <row r="9" spans="1:29">
      <c r="A9" s="18"/>
      <c r="B9" s="49" t="s">
        <v>132</v>
      </c>
      <c r="C9" s="49"/>
      <c r="D9" s="49"/>
      <c r="E9" s="49"/>
      <c r="F9" s="49"/>
      <c r="G9" s="49"/>
      <c r="H9" s="50"/>
      <c r="I9" s="50"/>
      <c r="J9" s="50"/>
      <c r="K9" s="49"/>
      <c r="L9" s="49"/>
      <c r="M9" s="49"/>
      <c r="N9" s="49"/>
      <c r="O9" s="18"/>
      <c r="P9" s="18"/>
      <c r="Q9" s="18"/>
      <c r="R9" s="18"/>
      <c r="S9" s="18"/>
      <c r="T9" s="18"/>
      <c r="U9" s="18"/>
      <c r="V9" s="18"/>
      <c r="W9" s="18"/>
      <c r="X9" s="3"/>
      <c r="Y9" s="3"/>
      <c r="Z9" s="3"/>
      <c r="AA9" s="3"/>
      <c r="AB9" s="3"/>
      <c r="AC9" s="3"/>
    </row>
    <row r="10" spans="1:29">
      <c r="A10" s="18"/>
      <c r="B10" s="18"/>
      <c r="C10" s="18"/>
      <c r="D10" s="18"/>
      <c r="E10" s="18"/>
      <c r="F10" s="18"/>
      <c r="G10" s="18"/>
      <c r="H10" s="19"/>
      <c r="I10" s="19"/>
      <c r="J10" s="19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3"/>
      <c r="Y10" s="3"/>
      <c r="Z10" s="3"/>
      <c r="AA10" s="3"/>
      <c r="AB10" s="3"/>
      <c r="AC10" s="3"/>
    </row>
    <row r="11" spans="1:29">
      <c r="A11" s="18"/>
      <c r="B11" s="18"/>
      <c r="C11" s="18"/>
      <c r="D11" s="18"/>
      <c r="E11" s="18"/>
      <c r="F11" s="18"/>
      <c r="G11" s="18"/>
      <c r="H11" s="19"/>
      <c r="I11" s="19"/>
      <c r="J11" s="19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3"/>
      <c r="Y11" s="3"/>
      <c r="Z11" s="3"/>
      <c r="AA11" s="3"/>
      <c r="AB11" s="3"/>
      <c r="AC11" s="3"/>
    </row>
    <row r="12" spans="1:29">
      <c r="A12" s="18"/>
      <c r="B12" s="16" t="s">
        <v>51</v>
      </c>
      <c r="C12" s="16"/>
      <c r="D12" s="16"/>
      <c r="E12" s="18"/>
      <c r="F12" s="21" t="s">
        <v>42</v>
      </c>
      <c r="G12" s="21"/>
      <c r="H12" s="22"/>
      <c r="I12" s="41"/>
      <c r="J12" s="23"/>
      <c r="K12" s="68" t="str">
        <f>C13</f>
        <v>Acqua Panna</v>
      </c>
      <c r="L12" s="7"/>
      <c r="M12" s="7"/>
      <c r="N12" s="7" t="s">
        <v>106</v>
      </c>
      <c r="O12" s="20"/>
      <c r="P12" s="18"/>
      <c r="Q12" s="35" t="s">
        <v>49</v>
      </c>
      <c r="R12" s="35"/>
      <c r="S12" s="30"/>
      <c r="T12" s="18"/>
      <c r="U12" s="18"/>
      <c r="V12" s="18" t="s">
        <v>8</v>
      </c>
      <c r="W12" s="18"/>
      <c r="X12" s="3"/>
      <c r="Y12" s="3" t="s">
        <v>190</v>
      </c>
      <c r="Z12" s="3"/>
      <c r="AA12" s="3"/>
      <c r="AB12" s="3"/>
      <c r="AC12" s="3"/>
    </row>
    <row r="13" spans="1:29">
      <c r="A13" s="18"/>
      <c r="B13" s="4"/>
      <c r="C13" s="2" t="s">
        <v>30</v>
      </c>
      <c r="D13" s="4"/>
      <c r="E13" s="18"/>
      <c r="F13" s="11"/>
      <c r="G13" s="11"/>
      <c r="H13" s="6"/>
      <c r="I13" s="19"/>
      <c r="J13" s="8"/>
      <c r="K13" s="81" t="s">
        <v>47</v>
      </c>
      <c r="L13" s="8"/>
      <c r="M13" s="7" t="s">
        <v>48</v>
      </c>
      <c r="N13" s="46">
        <v>100</v>
      </c>
      <c r="O13" s="20"/>
      <c r="P13" s="18"/>
      <c r="Q13" s="31"/>
      <c r="R13" s="66" t="s">
        <v>7</v>
      </c>
      <c r="S13" s="35" t="s">
        <v>6</v>
      </c>
      <c r="T13" s="18"/>
      <c r="U13" s="18" t="s">
        <v>23</v>
      </c>
      <c r="V13" s="18">
        <v>40.078000000000003</v>
      </c>
      <c r="W13" s="18"/>
      <c r="X13" s="3"/>
      <c r="Y13" s="36" t="s">
        <v>34</v>
      </c>
      <c r="Z13" s="60">
        <v>30</v>
      </c>
      <c r="AA13" s="3"/>
      <c r="AB13" s="3"/>
      <c r="AC13" s="3"/>
    </row>
    <row r="14" spans="1:29">
      <c r="A14" s="18"/>
      <c r="B14" s="4"/>
      <c r="C14" s="16" t="s">
        <v>7</v>
      </c>
      <c r="D14" s="44" t="s">
        <v>6</v>
      </c>
      <c r="E14" s="19"/>
      <c r="F14" s="6"/>
      <c r="G14" s="22" t="s">
        <v>7</v>
      </c>
      <c r="H14" s="22" t="s">
        <v>6</v>
      </c>
      <c r="I14" s="19"/>
      <c r="J14" s="7"/>
      <c r="K14" s="7" t="s">
        <v>29</v>
      </c>
      <c r="L14" s="7" t="s">
        <v>6</v>
      </c>
      <c r="M14" s="56" t="s">
        <v>45</v>
      </c>
      <c r="N14" s="56" t="s">
        <v>46</v>
      </c>
      <c r="O14" s="18"/>
      <c r="P14" s="18"/>
      <c r="Q14" s="36" t="s">
        <v>34</v>
      </c>
      <c r="R14" s="60">
        <v>13</v>
      </c>
      <c r="S14" s="37">
        <f>Ca_p/V13</f>
        <v>0.32436748340735561</v>
      </c>
      <c r="T14" s="18"/>
      <c r="U14" s="18" t="s">
        <v>24</v>
      </c>
      <c r="V14" s="18">
        <v>24.305</v>
      </c>
      <c r="W14" s="18"/>
      <c r="X14" s="3"/>
      <c r="Y14" s="36" t="s">
        <v>35</v>
      </c>
      <c r="Z14" s="60">
        <v>3.2</v>
      </c>
      <c r="AA14" s="3"/>
      <c r="AB14" s="3"/>
      <c r="AC14" s="3"/>
    </row>
    <row r="15" spans="1:29">
      <c r="A15" s="18"/>
      <c r="B15" s="15" t="s">
        <v>34</v>
      </c>
      <c r="C15" s="4">
        <f>VLOOKUP($C$13,'mineral waters lookup'!A:L,2,FALSE)</f>
        <v>30.2</v>
      </c>
      <c r="D15" s="17">
        <f t="shared" ref="D15:D23" si="0">C15/V13</f>
        <v>0.75353061530016463</v>
      </c>
      <c r="E15" s="19"/>
      <c r="F15" s="12" t="s">
        <v>34</v>
      </c>
      <c r="G15" s="13">
        <f>H15*V13</f>
        <v>30.2</v>
      </c>
      <c r="H15" s="14">
        <f>calcium_sulfate+calcium_hydroxide+calcium_nitrate+calcium_carbonate+S14</f>
        <v>0.75353061530016463</v>
      </c>
      <c r="I15" s="29"/>
      <c r="J15" s="38"/>
      <c r="K15" s="38" t="s">
        <v>9</v>
      </c>
      <c r="L15" s="39">
        <f>IF(Na_t&gt;Cl_t,Cl_t,Na_t)</f>
        <v>0</v>
      </c>
      <c r="M15" s="40">
        <f>sodium_chloride*V22</f>
        <v>0</v>
      </c>
      <c r="N15" s="45">
        <f t="shared" ref="N15:N25" si="1">$N$13*M15/1000</f>
        <v>0</v>
      </c>
      <c r="O15" s="69"/>
      <c r="P15" s="18"/>
      <c r="Q15" s="36" t="s">
        <v>35</v>
      </c>
      <c r="R15" s="60">
        <v>0.9</v>
      </c>
      <c r="S15" s="37">
        <f>Mg_p/V14</f>
        <v>3.7029417815264351E-2</v>
      </c>
      <c r="T15" s="18"/>
      <c r="U15" s="18" t="s">
        <v>21</v>
      </c>
      <c r="V15" s="18">
        <v>22.99</v>
      </c>
      <c r="W15" s="18"/>
      <c r="X15" s="3"/>
      <c r="Y15" s="36" t="s">
        <v>36</v>
      </c>
      <c r="Z15" s="60">
        <v>9.9</v>
      </c>
      <c r="AA15" s="3"/>
      <c r="AB15" s="3"/>
      <c r="AC15" s="3"/>
    </row>
    <row r="16" spans="1:29">
      <c r="A16" s="18"/>
      <c r="B16" s="15" t="s">
        <v>35</v>
      </c>
      <c r="C16" s="4">
        <f>VLOOKUP($C$13,'mineral waters lookup'!A:L,3,FALSE)</f>
        <v>6.9</v>
      </c>
      <c r="D16" s="17">
        <f t="shared" si="0"/>
        <v>0.28389220325036002</v>
      </c>
      <c r="E16" s="19"/>
      <c r="F16" s="12" t="s">
        <v>35</v>
      </c>
      <c r="G16" s="13">
        <f>H16*V14</f>
        <v>6.9</v>
      </c>
      <c r="H16" s="14">
        <f>magnesium_sulfate+magnesium_hydroxide+magnesium_chloride+magnesium_carbonate+S15</f>
        <v>0.28389220325036002</v>
      </c>
      <c r="I16" s="29"/>
      <c r="J16" s="39"/>
      <c r="K16" s="39" t="s">
        <v>10</v>
      </c>
      <c r="L16" s="39">
        <f>IF(Na_t- sodium_chloride&gt;0,Na_t-sodium_chloride,0)</f>
        <v>0</v>
      </c>
      <c r="M16" s="40">
        <f>sodium_bicarbonate*V23</f>
        <v>0</v>
      </c>
      <c r="N16" s="45">
        <f t="shared" si="1"/>
        <v>0</v>
      </c>
      <c r="O16" s="69"/>
      <c r="P16" s="18"/>
      <c r="Q16" s="36" t="s">
        <v>36</v>
      </c>
      <c r="R16" s="60">
        <v>8</v>
      </c>
      <c r="S16" s="37">
        <f>Na_p/V15</f>
        <v>0.34797738147020446</v>
      </c>
      <c r="T16" s="18"/>
      <c r="U16" s="18" t="s">
        <v>56</v>
      </c>
      <c r="V16" s="18">
        <v>39.097999999999999</v>
      </c>
      <c r="W16" s="18"/>
      <c r="X16" s="3"/>
      <c r="Y16" s="36" t="s">
        <v>60</v>
      </c>
      <c r="Z16" s="60">
        <v>0</v>
      </c>
      <c r="AA16" s="3"/>
      <c r="AB16" s="3"/>
      <c r="AC16" s="3"/>
    </row>
    <row r="17" spans="1:29">
      <c r="A17" s="18"/>
      <c r="B17" s="15" t="s">
        <v>36</v>
      </c>
      <c r="C17" s="4">
        <f>VLOOKUP($C$13,'mineral waters lookup'!A:L,4,FALSE)</f>
        <v>6.5</v>
      </c>
      <c r="D17" s="17">
        <f t="shared" si="0"/>
        <v>0.28273162244454114</v>
      </c>
      <c r="E17" s="19"/>
      <c r="F17" s="12" t="s">
        <v>36</v>
      </c>
      <c r="G17" s="13">
        <f>H17*V15</f>
        <v>8</v>
      </c>
      <c r="H17" s="14">
        <f>sodium_chloride+sodium_bicarbonate+S16</f>
        <v>0.34797738147020446</v>
      </c>
      <c r="I17" s="29"/>
      <c r="J17" s="51"/>
      <c r="K17" s="51" t="s">
        <v>61</v>
      </c>
      <c r="L17" s="51">
        <f>IF(V2,K_t,0)</f>
        <v>0</v>
      </c>
      <c r="M17" s="47">
        <f>potassium_bicarbonate*V29</f>
        <v>0</v>
      </c>
      <c r="N17" s="48">
        <f t="shared" si="1"/>
        <v>0</v>
      </c>
      <c r="O17" s="69"/>
      <c r="P17" s="18"/>
      <c r="Q17" s="36" t="s">
        <v>60</v>
      </c>
      <c r="R17" s="60">
        <v>0</v>
      </c>
      <c r="S17" s="37">
        <f>K_p/V16</f>
        <v>0</v>
      </c>
      <c r="T17" s="18"/>
      <c r="U17" s="18" t="s">
        <v>22</v>
      </c>
      <c r="V17" s="18">
        <v>61.01</v>
      </c>
      <c r="W17" s="18"/>
      <c r="X17" s="3"/>
      <c r="Y17" s="36" t="s">
        <v>37</v>
      </c>
      <c r="Z17" s="60">
        <v>0</v>
      </c>
      <c r="AA17" s="3"/>
      <c r="AB17" s="3"/>
      <c r="AC17" s="3"/>
    </row>
    <row r="18" spans="1:29">
      <c r="A18" s="18"/>
      <c r="B18" s="15" t="s">
        <v>60</v>
      </c>
      <c r="C18" s="4">
        <f>VLOOKUP($C$13,'mineral waters lookup'!A:L,5,FALSE)</f>
        <v>0.9</v>
      </c>
      <c r="D18" s="17">
        <f t="shared" si="0"/>
        <v>2.3019080259859839E-2</v>
      </c>
      <c r="E18" s="19"/>
      <c r="F18" s="12" t="s">
        <v>60</v>
      </c>
      <c r="G18" s="13">
        <f t="shared" ref="G18:G23" si="2">H18*V16</f>
        <v>0</v>
      </c>
      <c r="H18" s="14">
        <f>potassium_bicarbonate+S17</f>
        <v>0</v>
      </c>
      <c r="I18" s="29"/>
      <c r="J18" s="39"/>
      <c r="K18" s="39" t="s">
        <v>74</v>
      </c>
      <c r="L18" s="39">
        <f>IF(V4,(Cl_t-sodium_chloride)/2,0)</f>
        <v>0</v>
      </c>
      <c r="M18" s="40">
        <f>magnesium_chloride*V30</f>
        <v>0</v>
      </c>
      <c r="N18" s="45">
        <f t="shared" si="1"/>
        <v>0</v>
      </c>
      <c r="O18" s="69"/>
      <c r="P18" s="18"/>
      <c r="Q18" s="36" t="s">
        <v>37</v>
      </c>
      <c r="R18" s="60">
        <v>47</v>
      </c>
      <c r="S18" s="37">
        <f>bicarbonate_p/V17</f>
        <v>0.77036551385018848</v>
      </c>
      <c r="T18" s="18"/>
      <c r="U18" s="18" t="s">
        <v>25</v>
      </c>
      <c r="V18" s="18">
        <v>96.06</v>
      </c>
      <c r="W18" s="18"/>
      <c r="X18" s="3"/>
      <c r="Y18" s="36" t="s">
        <v>38</v>
      </c>
      <c r="Z18" s="60">
        <v>0</v>
      </c>
      <c r="AA18" s="3"/>
      <c r="AB18" s="3"/>
      <c r="AC18" s="3"/>
    </row>
    <row r="19" spans="1:29">
      <c r="A19" s="18"/>
      <c r="B19" s="15" t="s">
        <v>37</v>
      </c>
      <c r="C19" s="4">
        <f>VLOOKUP($C$13,'mineral waters lookup'!A:L,6,FALSE)</f>
        <v>100</v>
      </c>
      <c r="D19" s="17">
        <f t="shared" si="0"/>
        <v>1.6390755613833798</v>
      </c>
      <c r="E19" s="19"/>
      <c r="F19" s="12" t="s">
        <v>37</v>
      </c>
      <c r="G19" s="13">
        <f t="shared" si="2"/>
        <v>111.83223854311504</v>
      </c>
      <c r="H19" s="14">
        <f>sodium_bicarbonate+potassium_bicarbonate+2*magnesium_hydroxide+2*calcium_hydroxide+2*magnesium_carbonate+2*calcium_carbonate+S18</f>
        <v>1.8330148917081632</v>
      </c>
      <c r="I19" s="29"/>
      <c r="J19" s="39"/>
      <c r="K19" s="39" t="s">
        <v>63</v>
      </c>
      <c r="L19" s="39">
        <f>IF(V3,S35/2,0)</f>
        <v>0</v>
      </c>
      <c r="M19" s="40">
        <f>calcium_nitrate*V28</f>
        <v>0</v>
      </c>
      <c r="N19" s="67">
        <f t="shared" si="1"/>
        <v>0</v>
      </c>
      <c r="O19" s="70"/>
      <c r="P19" s="18"/>
      <c r="Q19" s="36" t="s">
        <v>38</v>
      </c>
      <c r="R19" s="60">
        <v>7.5</v>
      </c>
      <c r="S19" s="37">
        <f>sulfate_p/V18</f>
        <v>7.8076202373516548E-2</v>
      </c>
      <c r="T19" s="18"/>
      <c r="U19" s="18" t="s">
        <v>26</v>
      </c>
      <c r="V19" s="18">
        <v>35.450000000000003</v>
      </c>
      <c r="W19" s="18"/>
      <c r="X19" s="3"/>
      <c r="Y19" s="36" t="s">
        <v>39</v>
      </c>
      <c r="Z19" s="60">
        <v>8.1999999999999993</v>
      </c>
      <c r="AA19" s="3"/>
      <c r="AB19" s="3"/>
      <c r="AC19" s="3"/>
    </row>
    <row r="20" spans="1:29">
      <c r="A20" s="18"/>
      <c r="B20" s="15" t="s">
        <v>38</v>
      </c>
      <c r="C20" s="4">
        <f>VLOOKUP($C$13,'mineral waters lookup'!A:L,7,FALSE)</f>
        <v>21.4</v>
      </c>
      <c r="D20" s="17">
        <f t="shared" si="0"/>
        <v>0.22277743077243387</v>
      </c>
      <c r="E20" s="19"/>
      <c r="F20" s="12" t="s">
        <v>38</v>
      </c>
      <c r="G20" s="13">
        <f t="shared" si="2"/>
        <v>21.4</v>
      </c>
      <c r="H20" s="14">
        <f>magnesium_sulfate+calcium_sulfate+S19</f>
        <v>0.22277743077243389</v>
      </c>
      <c r="I20" s="29"/>
      <c r="J20" s="39"/>
      <c r="K20" s="39" t="s">
        <v>27</v>
      </c>
      <c r="L20" s="39">
        <f>IF(sulfate_t-magnesium_chloride&lt;Mg_t,IF(sulfate_t-magnesium_chloride&gt;0,sulfate_t-magnesium_chloride,0),IF(Mg_t-magnesium_chloride&gt;0,Mg_t-magnesium_chloride,0))</f>
        <v>0.14470122839891733</v>
      </c>
      <c r="M20" s="40">
        <f>magnesium_sulfate*V24</f>
        <v>35.664511763481151</v>
      </c>
      <c r="N20" s="45">
        <f t="shared" si="1"/>
        <v>3.566451176348115</v>
      </c>
      <c r="O20" s="70"/>
      <c r="P20" s="18"/>
      <c r="Q20" s="36" t="s">
        <v>39</v>
      </c>
      <c r="R20" s="60">
        <v>5</v>
      </c>
      <c r="S20" s="37">
        <f>chloride_p/V19</f>
        <v>0.14104372355430181</v>
      </c>
      <c r="T20" s="18"/>
      <c r="U20" s="18" t="s">
        <v>57</v>
      </c>
      <c r="V20" s="18">
        <v>62.004899999999999</v>
      </c>
      <c r="W20" s="18"/>
      <c r="X20" s="3"/>
      <c r="Y20" s="36" t="s">
        <v>54</v>
      </c>
      <c r="Z20" s="60">
        <v>0</v>
      </c>
      <c r="AA20" s="3"/>
      <c r="AB20" s="3"/>
      <c r="AC20" s="3"/>
    </row>
    <row r="21" spans="1:29">
      <c r="A21" s="18"/>
      <c r="B21" s="15" t="s">
        <v>39</v>
      </c>
      <c r="C21" s="4">
        <f>VLOOKUP($C$13,'mineral waters lookup'!A:L,8,FALSE)</f>
        <v>7.1</v>
      </c>
      <c r="D21" s="17">
        <f t="shared" si="0"/>
        <v>0.20028208744710857</v>
      </c>
      <c r="E21" s="19"/>
      <c r="F21" s="12" t="s">
        <v>39</v>
      </c>
      <c r="G21" s="13">
        <f t="shared" si="2"/>
        <v>4.9999999999999991</v>
      </c>
      <c r="H21" s="14">
        <f>sodium_chloride+magnesium_chloride*2+S20</f>
        <v>0.14104372355430181</v>
      </c>
      <c r="I21" s="29"/>
      <c r="J21" s="39"/>
      <c r="K21" s="39" t="s">
        <v>100</v>
      </c>
      <c r="L21" s="39">
        <f>IF(sulfate_t-magnesium_sulfate&gt;0,sulfate_t-magnesium_sulfate,0)</f>
        <v>0</v>
      </c>
      <c r="M21" s="40">
        <f>calcium_sulfate*V25</f>
        <v>0</v>
      </c>
      <c r="N21" s="45">
        <f t="shared" si="1"/>
        <v>0</v>
      </c>
      <c r="O21" s="70"/>
      <c r="P21" s="18"/>
      <c r="Q21" s="36" t="s">
        <v>54</v>
      </c>
      <c r="R21" s="60">
        <v>0</v>
      </c>
      <c r="S21" s="37">
        <f>nitrate_p/V20</f>
        <v>0</v>
      </c>
      <c r="T21" s="18"/>
      <c r="U21" s="18" t="s">
        <v>14</v>
      </c>
      <c r="V21" s="18">
        <v>44</v>
      </c>
      <c r="W21" s="18"/>
      <c r="X21" s="3"/>
      <c r="Y21" s="3"/>
      <c r="Z21" s="3"/>
      <c r="AA21" s="3"/>
      <c r="AB21" s="3"/>
      <c r="AC21" s="3"/>
    </row>
    <row r="22" spans="1:29">
      <c r="A22" s="18"/>
      <c r="B22" s="15" t="s">
        <v>54</v>
      </c>
      <c r="C22" s="4">
        <f>VLOOKUP($C$13,'mineral waters lookup'!A:L,9,FALSE)</f>
        <v>5.7</v>
      </c>
      <c r="D22" s="17">
        <f t="shared" si="0"/>
        <v>9.1928218576273812E-2</v>
      </c>
      <c r="E22" s="19"/>
      <c r="F22" s="12" t="s">
        <v>54</v>
      </c>
      <c r="G22" s="13">
        <f t="shared" si="2"/>
        <v>0</v>
      </c>
      <c r="H22" s="14">
        <f>calcium_nitrate*2+S21</f>
        <v>0</v>
      </c>
      <c r="I22" s="29"/>
      <c r="J22" s="39"/>
      <c r="K22" s="39" t="s">
        <v>11</v>
      </c>
      <c r="L22" s="39">
        <f>IF(V5,IF(Mg_t-magnesium_sulfate-magnesium_chloride&gt;0,Mg_t-magnesium_sulfate-magnesium_chloride,0),0)</f>
        <v>0</v>
      </c>
      <c r="M22" s="40">
        <f>magnesium_hydroxide*V26</f>
        <v>0</v>
      </c>
      <c r="N22" s="45">
        <f t="shared" si="1"/>
        <v>0</v>
      </c>
      <c r="O22" s="70"/>
      <c r="P22" s="18"/>
      <c r="Q22" s="36"/>
      <c r="R22" s="64"/>
      <c r="S22" s="37"/>
      <c r="T22" s="18"/>
      <c r="U22" s="18" t="s">
        <v>9</v>
      </c>
      <c r="V22" s="18">
        <v>58.44</v>
      </c>
      <c r="W22" s="18"/>
      <c r="X22" s="3"/>
      <c r="Y22" s="3"/>
      <c r="Z22" s="3"/>
      <c r="AA22" s="3"/>
      <c r="AB22" s="3"/>
      <c r="AC22" s="3"/>
    </row>
    <row r="23" spans="1:29">
      <c r="A23" s="18"/>
      <c r="B23" s="15" t="s">
        <v>40</v>
      </c>
      <c r="C23" s="4">
        <f>VLOOKUP($C$13,'mineral waters lookup'!A:L,10,FALSE)</f>
        <v>8.0000000000000002E-3</v>
      </c>
      <c r="D23" s="17">
        <f t="shared" si="0"/>
        <v>1.8181818181818183E-4</v>
      </c>
      <c r="E23" s="19"/>
      <c r="F23" s="12" t="s">
        <v>40</v>
      </c>
      <c r="G23" s="13">
        <f t="shared" si="2"/>
        <v>950.00800000000004</v>
      </c>
      <c r="H23" s="14">
        <f>G32/V21+D23-calcium_hydroxide-magnesium_hydroxide</f>
        <v>21.591090909090909</v>
      </c>
      <c r="I23" s="29"/>
      <c r="J23" s="39"/>
      <c r="K23" s="39" t="s">
        <v>12</v>
      </c>
      <c r="L23" s="39">
        <f>IF(V6,IF(Ca_t-calcium_sulfate-calcium_nitrate&gt;0,Ca_t-calcium_sulfate-calcium_nitrate,0),0)</f>
        <v>0</v>
      </c>
      <c r="M23" s="40">
        <f>calcium_hydroxide*V27</f>
        <v>0</v>
      </c>
      <c r="N23" s="45">
        <f t="shared" si="1"/>
        <v>0</v>
      </c>
      <c r="O23" s="70"/>
      <c r="P23" s="18"/>
      <c r="Q23" s="30" t="s">
        <v>43</v>
      </c>
      <c r="R23" s="30"/>
      <c r="S23" s="63">
        <f>S14*2+S15*2+S16+S17</f>
        <v>1.0707711839154443</v>
      </c>
      <c r="T23" s="18"/>
      <c r="U23" s="18" t="s">
        <v>10</v>
      </c>
      <c r="V23" s="18">
        <v>84.01</v>
      </c>
      <c r="W23" s="18"/>
      <c r="X23" s="3"/>
      <c r="Y23" s="3"/>
      <c r="Z23" s="3"/>
      <c r="AA23" s="3"/>
      <c r="AB23" s="3"/>
      <c r="AC23" s="3"/>
    </row>
    <row r="24" spans="1:29">
      <c r="A24" s="18"/>
      <c r="B24" s="15" t="s">
        <v>13</v>
      </c>
      <c r="C24" s="4">
        <f>VLOOKUP($C$13,'mineral waters lookup'!A:L,11,FALSE)</f>
        <v>8.1999999999999993</v>
      </c>
      <c r="D24" s="5"/>
      <c r="E24" s="19"/>
      <c r="F24" s="12" t="s">
        <v>41</v>
      </c>
      <c r="G24" s="14">
        <f>6.352+LOG10(H19/H23)</f>
        <v>5.2808914072509063</v>
      </c>
      <c r="H24" s="14"/>
      <c r="I24" s="29"/>
      <c r="J24" s="39"/>
      <c r="K24" s="39" t="s">
        <v>82</v>
      </c>
      <c r="L24" s="39">
        <f>IF(V7,IF(Mg_t-magnesium_sulfate-magnesium_chloride&gt;0,Mg_t-magnesium_sulfate-magnesium_chloride,0),0)</f>
        <v>0.10216155703617832</v>
      </c>
      <c r="M24" s="40">
        <f>magnesium_carbonate*V32</f>
        <v>8.6132408737201942</v>
      </c>
      <c r="N24" s="45">
        <f t="shared" si="1"/>
        <v>0.86132408737201949</v>
      </c>
      <c r="O24" s="70"/>
      <c r="P24" s="18"/>
      <c r="Q24" s="30" t="s">
        <v>44</v>
      </c>
      <c r="R24" s="30"/>
      <c r="S24" s="63">
        <f>S18+S19*2+S20+S21</f>
        <v>1.0675616421515233</v>
      </c>
      <c r="T24" s="18"/>
      <c r="U24" s="18" t="s">
        <v>28</v>
      </c>
      <c r="V24" s="18">
        <v>246.47</v>
      </c>
      <c r="W24" s="18"/>
      <c r="X24" s="3"/>
      <c r="Y24" s="3"/>
      <c r="Z24" s="3"/>
      <c r="AA24" s="3"/>
      <c r="AB24" s="3"/>
      <c r="AC24" s="3"/>
    </row>
    <row r="25" spans="1:29">
      <c r="A25" s="18"/>
      <c r="B25" s="15" t="s">
        <v>33</v>
      </c>
      <c r="C25" s="4">
        <f>VLOOKUP($C$13,'mineral waters lookup'!A:L,12,FALSE)</f>
        <v>137</v>
      </c>
      <c r="D25" s="5"/>
      <c r="E25" s="19"/>
      <c r="F25" s="12" t="s">
        <v>33</v>
      </c>
      <c r="G25" s="13">
        <f>SUM(G15:G22)</f>
        <v>183.33223854311504</v>
      </c>
      <c r="H25" s="14"/>
      <c r="I25" s="29"/>
      <c r="J25" s="51"/>
      <c r="K25" s="51" t="s">
        <v>83</v>
      </c>
      <c r="L25" s="51">
        <f>IF(V8,IF(Ca_t-calcium_sulfate-calcium_nitrate&gt;0,Ca_t-calcium_sulfate-calcium_nitrate,0),0)</f>
        <v>0.42916313189280897</v>
      </c>
      <c r="M25" s="47">
        <f>calcium_carbonate*V31</f>
        <v>42.950646239832324</v>
      </c>
      <c r="N25" s="48">
        <f t="shared" si="1"/>
        <v>4.2950646239832322</v>
      </c>
      <c r="O25" s="70"/>
      <c r="P25" s="18"/>
      <c r="Q25" s="18"/>
      <c r="R25" s="18"/>
      <c r="S25" s="18"/>
      <c r="T25" s="18"/>
      <c r="U25" s="18" t="s">
        <v>100</v>
      </c>
      <c r="V25" s="18">
        <v>145.15</v>
      </c>
      <c r="W25" s="18"/>
      <c r="X25" s="3"/>
      <c r="Y25" s="3"/>
      <c r="Z25" s="3"/>
      <c r="AA25" s="3"/>
      <c r="AB25" s="3"/>
      <c r="AC25" s="3"/>
    </row>
    <row r="26" spans="1:29" ht="15.75" thickBot="1">
      <c r="A26" s="18"/>
      <c r="B26" s="4"/>
      <c r="C26" s="4"/>
      <c r="D26" s="5"/>
      <c r="E26" s="19"/>
      <c r="F26" s="124" t="s">
        <v>194</v>
      </c>
      <c r="G26" s="6">
        <f>(H23/1000)*29.76</f>
        <v>0.64255086545454543</v>
      </c>
      <c r="H26" s="6" t="s">
        <v>195</v>
      </c>
      <c r="I26" s="29"/>
      <c r="J26" s="72"/>
      <c r="K26" s="57" t="s">
        <v>97</v>
      </c>
      <c r="L26" s="58">
        <f>SUM(L15:L25)</f>
        <v>0.67602591732790462</v>
      </c>
      <c r="M26" s="59">
        <f>SUM(M15:M25)</f>
        <v>87.228398877033669</v>
      </c>
      <c r="N26" s="71">
        <f>SUM(N15:N25)</f>
        <v>8.7228398877033655</v>
      </c>
      <c r="O26" s="70"/>
      <c r="P26" s="18"/>
      <c r="Q26" s="26" t="s">
        <v>50</v>
      </c>
      <c r="R26" s="24"/>
      <c r="S26" s="24"/>
      <c r="T26" s="18"/>
      <c r="U26" s="18" t="s">
        <v>11</v>
      </c>
      <c r="V26" s="18">
        <v>58.319699999999997</v>
      </c>
      <c r="W26" s="18"/>
      <c r="X26" s="3"/>
      <c r="Y26" s="3"/>
      <c r="Z26" s="3"/>
      <c r="AA26" s="3"/>
      <c r="AB26" s="3"/>
      <c r="AC26" s="3"/>
    </row>
    <row r="27" spans="1:29" ht="15.75" thickTop="1">
      <c r="A27" s="18"/>
      <c r="B27" s="4" t="s">
        <v>43</v>
      </c>
      <c r="C27" s="4"/>
      <c r="D27" s="5">
        <f>D15*2+D16*2+D17+D18</f>
        <v>2.3805963398054502</v>
      </c>
      <c r="E27" s="19"/>
      <c r="F27" s="11" t="s">
        <v>43</v>
      </c>
      <c r="G27" s="6"/>
      <c r="H27" s="6">
        <f>H15*2+H16*2+H17+H18</f>
        <v>2.4228230185712536</v>
      </c>
      <c r="I27" s="29"/>
      <c r="J27" s="61" t="s">
        <v>92</v>
      </c>
      <c r="K27" s="54"/>
      <c r="L27" s="55"/>
      <c r="M27" s="52"/>
      <c r="N27" s="53"/>
      <c r="O27" s="18"/>
      <c r="P27" s="18"/>
      <c r="Q27" s="24"/>
      <c r="R27" s="26" t="s">
        <v>7</v>
      </c>
      <c r="S27" s="65" t="s">
        <v>6</v>
      </c>
      <c r="T27" s="18"/>
      <c r="U27" s="18" t="s">
        <v>12</v>
      </c>
      <c r="V27" s="18">
        <v>74.093000000000004</v>
      </c>
      <c r="W27" s="18"/>
      <c r="X27" s="3"/>
      <c r="Y27" s="3"/>
      <c r="Z27" s="3"/>
      <c r="AA27" s="3"/>
      <c r="AB27" s="3"/>
      <c r="AC27" s="3"/>
    </row>
    <row r="28" spans="1:29">
      <c r="A28" s="18"/>
      <c r="B28" s="4" t="s">
        <v>44</v>
      </c>
      <c r="C28" s="4"/>
      <c r="D28" s="5">
        <f>D19+D20*2+D21+D22</f>
        <v>2.3768407289516302</v>
      </c>
      <c r="E28" s="19"/>
      <c r="F28" s="11" t="s">
        <v>44</v>
      </c>
      <c r="G28" s="6"/>
      <c r="H28" s="6">
        <f>H19+H20*2+H21+H22</f>
        <v>2.4196134768073327</v>
      </c>
      <c r="I28" s="29"/>
      <c r="J28" s="19"/>
      <c r="K28" s="18"/>
      <c r="L28" s="18"/>
      <c r="M28" s="18"/>
      <c r="N28" s="18"/>
      <c r="O28" s="18"/>
      <c r="P28" s="18"/>
      <c r="Q28" s="25" t="s">
        <v>34</v>
      </c>
      <c r="R28" s="24">
        <f>IF(C15-Ca_p&gt;0,C15-Ca_p,0)</f>
        <v>17.2</v>
      </c>
      <c r="S28" s="27">
        <f t="shared" ref="S28:S35" si="3">R28/V13</f>
        <v>0.42916313189280897</v>
      </c>
      <c r="T28" s="18"/>
      <c r="U28" s="18" t="s">
        <v>63</v>
      </c>
      <c r="V28" s="18">
        <v>236.15</v>
      </c>
      <c r="W28" s="18"/>
      <c r="X28" s="3"/>
      <c r="Y28" s="3"/>
      <c r="Z28" s="3"/>
      <c r="AA28" s="3"/>
      <c r="AB28" s="3"/>
      <c r="AC28" s="3"/>
    </row>
    <row r="29" spans="1:29">
      <c r="A29" s="18"/>
      <c r="B29" s="62" t="s">
        <v>99</v>
      </c>
      <c r="C29" s="18"/>
      <c r="D29" s="19"/>
      <c r="E29" s="20"/>
      <c r="F29" s="62" t="s">
        <v>91</v>
      </c>
      <c r="G29" s="19"/>
      <c r="H29" s="19"/>
      <c r="I29" s="29"/>
      <c r="J29" s="19"/>
      <c r="K29" s="18"/>
      <c r="L29" s="18"/>
      <c r="M29" s="18"/>
      <c r="N29" s="18"/>
      <c r="O29" s="18"/>
      <c r="P29" s="18"/>
      <c r="Q29" s="25" t="s">
        <v>35</v>
      </c>
      <c r="R29" s="24">
        <f>IF(C16-Mg_p&gt;0,C16-Mg_p,0)</f>
        <v>6</v>
      </c>
      <c r="S29" s="27">
        <f t="shared" si="3"/>
        <v>0.24686278543509566</v>
      </c>
      <c r="T29" s="18"/>
      <c r="U29" s="18" t="s">
        <v>61</v>
      </c>
      <c r="V29" s="18">
        <v>100.11499999999999</v>
      </c>
      <c r="W29" s="18"/>
      <c r="X29" s="3"/>
      <c r="Y29" s="3"/>
      <c r="Z29" s="3"/>
      <c r="AA29" s="3"/>
      <c r="AB29" s="3"/>
      <c r="AC29" s="3"/>
    </row>
    <row r="30" spans="1:29">
      <c r="A30" s="18"/>
      <c r="B30" s="62" t="s">
        <v>105</v>
      </c>
      <c r="C30" s="18"/>
      <c r="D30" s="19"/>
      <c r="E30" s="20"/>
      <c r="F30" s="62"/>
      <c r="G30" s="19"/>
      <c r="H30" s="19"/>
      <c r="I30" s="29"/>
      <c r="J30" s="19"/>
      <c r="K30" s="18"/>
      <c r="L30" s="18"/>
      <c r="M30" s="18"/>
      <c r="N30" s="18"/>
      <c r="O30" s="18"/>
      <c r="P30" s="18"/>
      <c r="Q30" s="25" t="s">
        <v>36</v>
      </c>
      <c r="R30" s="24">
        <f>IF(C17-Na_p&gt;0,C17-Na_p,0)</f>
        <v>0</v>
      </c>
      <c r="S30" s="27">
        <f t="shared" si="3"/>
        <v>0</v>
      </c>
      <c r="T30" s="18"/>
      <c r="U30" s="18" t="s">
        <v>75</v>
      </c>
      <c r="V30" s="18">
        <v>203.31</v>
      </c>
      <c r="W30" s="18"/>
      <c r="X30" s="3"/>
      <c r="Y30" s="3"/>
      <c r="Z30" s="3"/>
      <c r="AA30" s="3"/>
      <c r="AB30" s="3"/>
      <c r="AC30" s="3"/>
    </row>
    <row r="31" spans="1:29">
      <c r="A31" s="18"/>
      <c r="B31" s="18"/>
      <c r="C31" s="18"/>
      <c r="D31" s="19"/>
      <c r="E31" s="20"/>
      <c r="F31" s="18"/>
      <c r="G31" s="18"/>
      <c r="H31" s="19"/>
      <c r="I31" s="29"/>
      <c r="J31" s="19"/>
      <c r="K31" s="18"/>
      <c r="L31" s="18"/>
      <c r="M31" s="18"/>
      <c r="N31" s="18"/>
      <c r="O31" s="18"/>
      <c r="P31" s="18"/>
      <c r="Q31" s="25" t="s">
        <v>60</v>
      </c>
      <c r="R31" s="24">
        <f>IF(C18-K_p&gt;0,C18-K_p,0)</f>
        <v>0.9</v>
      </c>
      <c r="S31" s="27">
        <f t="shared" si="3"/>
        <v>2.3019080259859839E-2</v>
      </c>
      <c r="T31" s="18"/>
      <c r="U31" s="18" t="s">
        <v>83</v>
      </c>
      <c r="V31" s="18">
        <v>100.08</v>
      </c>
      <c r="W31" s="18"/>
      <c r="X31" s="3"/>
      <c r="Y31" s="3"/>
      <c r="Z31" s="3"/>
      <c r="AA31" s="3"/>
      <c r="AB31" s="3"/>
      <c r="AC31" s="3"/>
    </row>
    <row r="32" spans="1:29">
      <c r="A32" s="18"/>
      <c r="B32" s="18" t="s">
        <v>196</v>
      </c>
      <c r="C32" s="18">
        <f>(((10^-C24)^2-0.00000000000001)*29.76)/(0.0017*0.00000045)</f>
        <v>-3.874708928894547E-4</v>
      </c>
      <c r="D32" s="19"/>
      <c r="E32" s="20"/>
      <c r="F32" s="33" t="s">
        <v>73</v>
      </c>
      <c r="G32" s="2">
        <v>950</v>
      </c>
      <c r="H32" s="34" t="s">
        <v>7</v>
      </c>
      <c r="I32" s="29"/>
      <c r="J32" s="19"/>
      <c r="K32" s="18"/>
      <c r="L32" s="18"/>
      <c r="M32" s="18"/>
      <c r="N32" s="18"/>
      <c r="O32" s="18"/>
      <c r="P32" s="18"/>
      <c r="Q32" s="25" t="s">
        <v>37</v>
      </c>
      <c r="R32" s="24">
        <f>IF(C19-bicarbonate_p&gt;0,C19-bicarbonate_p,0)</f>
        <v>53</v>
      </c>
      <c r="S32" s="27">
        <f t="shared" si="3"/>
        <v>0.86871004753319125</v>
      </c>
      <c r="T32" s="18"/>
      <c r="U32" s="18" t="s">
        <v>82</v>
      </c>
      <c r="V32" s="18">
        <v>84.31</v>
      </c>
      <c r="W32" s="18"/>
      <c r="X32" s="3"/>
      <c r="Y32" s="3"/>
      <c r="Z32" s="3"/>
      <c r="AA32" s="3"/>
      <c r="AB32" s="3"/>
      <c r="AC32" s="3"/>
    </row>
    <row r="33" spans="1:29">
      <c r="A33" s="18"/>
      <c r="B33" s="18"/>
      <c r="C33" s="18"/>
      <c r="D33" s="19"/>
      <c r="E33" s="20"/>
      <c r="F33" s="18"/>
      <c r="G33" s="18"/>
      <c r="H33" s="19"/>
      <c r="I33" s="29"/>
      <c r="J33" s="19"/>
      <c r="K33" s="18"/>
      <c r="L33" s="18"/>
      <c r="M33" s="18"/>
      <c r="N33" s="18"/>
      <c r="O33" s="18"/>
      <c r="P33" s="18"/>
      <c r="Q33" s="25" t="s">
        <v>38</v>
      </c>
      <c r="R33" s="24">
        <f>IF(C20-sulfate_p&gt;0,C20-sulfate_p,0)</f>
        <v>13.899999999999999</v>
      </c>
      <c r="S33" s="27">
        <f t="shared" si="3"/>
        <v>0.14470122839891733</v>
      </c>
      <c r="T33" s="18"/>
      <c r="U33" s="18"/>
      <c r="V33" s="18"/>
      <c r="W33" s="18"/>
      <c r="X33" s="3"/>
      <c r="Y33" s="3"/>
      <c r="Z33" s="3"/>
      <c r="AA33" s="3"/>
      <c r="AB33" s="3"/>
      <c r="AC33" s="3"/>
    </row>
    <row r="34" spans="1:29">
      <c r="A34" s="18"/>
      <c r="B34" s="20" t="s">
        <v>198</v>
      </c>
      <c r="C34" s="18"/>
      <c r="D34" s="19"/>
      <c r="E34" s="20"/>
      <c r="F34" s="18"/>
      <c r="G34" s="18"/>
      <c r="H34" s="19"/>
      <c r="I34" s="19"/>
      <c r="J34" s="19"/>
      <c r="K34" s="18"/>
      <c r="L34" s="18"/>
      <c r="M34" s="18"/>
      <c r="N34" s="18"/>
      <c r="O34" s="18"/>
      <c r="P34" s="18"/>
      <c r="Q34" s="25" t="s">
        <v>39</v>
      </c>
      <c r="R34" s="24">
        <f>IF(C21-chloride_p&gt;0,C21-chloride_p,0)</f>
        <v>2.0999999999999996</v>
      </c>
      <c r="S34" s="27">
        <f t="shared" si="3"/>
        <v>5.9238363892806754E-2</v>
      </c>
      <c r="T34" s="18"/>
      <c r="U34" s="18"/>
      <c r="V34" s="18"/>
      <c r="W34" s="18"/>
    </row>
    <row r="35" spans="1:29">
      <c r="A35" s="18"/>
      <c r="B35" s="18" t="s">
        <v>52</v>
      </c>
      <c r="C35" s="18"/>
      <c r="D35" s="19"/>
      <c r="E35" s="20"/>
      <c r="F35" s="18"/>
      <c r="G35" s="18"/>
      <c r="H35" s="19"/>
      <c r="I35" s="19"/>
      <c r="J35" s="19"/>
      <c r="K35" s="18"/>
      <c r="L35" s="18"/>
      <c r="M35" s="18"/>
      <c r="N35" s="18"/>
      <c r="O35" s="18"/>
      <c r="P35" s="18"/>
      <c r="Q35" s="25" t="s">
        <v>54</v>
      </c>
      <c r="R35" s="24">
        <f>IF(C22-nitrate_p&gt;0,C22-nitrate_p,0)</f>
        <v>5.7</v>
      </c>
      <c r="S35" s="27">
        <f t="shared" si="3"/>
        <v>9.1928218576273812E-2</v>
      </c>
      <c r="T35" s="18"/>
      <c r="U35" s="18"/>
      <c r="V35" s="18"/>
      <c r="W35" s="18"/>
    </row>
    <row r="36" spans="1:29">
      <c r="A36" s="18"/>
      <c r="B36" s="28" t="s">
        <v>53</v>
      </c>
      <c r="C36" s="18"/>
      <c r="D36" s="19"/>
      <c r="E36" s="20"/>
      <c r="F36" s="18"/>
      <c r="G36" s="18"/>
      <c r="H36" s="19"/>
      <c r="I36" s="19"/>
      <c r="J36" s="19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</row>
    <row r="37" spans="1:29">
      <c r="A37" s="18"/>
      <c r="B37" s="28" t="s">
        <v>179</v>
      </c>
      <c r="C37" s="18"/>
      <c r="D37" s="19"/>
      <c r="E37" s="20"/>
      <c r="F37" s="18"/>
      <c r="G37" s="18"/>
      <c r="H37" s="19"/>
      <c r="I37" s="19"/>
      <c r="J37" s="19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</row>
    <row r="38" spans="1:29">
      <c r="A38" s="18"/>
      <c r="B38" s="28" t="s">
        <v>180</v>
      </c>
      <c r="C38" s="18"/>
      <c r="D38" s="19"/>
      <c r="E38" s="20"/>
      <c r="F38" s="18"/>
      <c r="G38" s="18"/>
      <c r="H38" s="19"/>
      <c r="I38" s="19"/>
      <c r="J38" s="19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</row>
    <row r="39" spans="1:29">
      <c r="A39" s="18"/>
      <c r="B39" s="18"/>
      <c r="C39" s="18"/>
      <c r="D39" s="19"/>
      <c r="E39" s="20"/>
      <c r="F39" s="18"/>
      <c r="G39" s="18"/>
      <c r="H39" s="19"/>
      <c r="I39" s="19"/>
      <c r="J39" s="19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</row>
    <row r="40" spans="1:29">
      <c r="B40" s="3"/>
      <c r="C40" s="3"/>
      <c r="D40" s="42"/>
      <c r="E40" s="73"/>
      <c r="F40" s="3"/>
      <c r="G40" s="3"/>
      <c r="H40" s="42"/>
      <c r="I40" s="42"/>
      <c r="J40" s="42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9">
      <c r="B41" s="73" t="s">
        <v>133</v>
      </c>
      <c r="C41" s="3"/>
      <c r="D41" s="42"/>
      <c r="E41" s="73"/>
      <c r="F41" s="3"/>
      <c r="G41" s="3"/>
      <c r="H41" s="42"/>
      <c r="I41" s="42"/>
      <c r="J41" s="42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9">
      <c r="B42" s="3" t="s">
        <v>134</v>
      </c>
      <c r="C42" s="3"/>
      <c r="D42" s="42"/>
      <c r="E42" s="73"/>
      <c r="F42" s="3"/>
      <c r="G42" s="3"/>
      <c r="H42" s="123" t="s">
        <v>186</v>
      </c>
      <c r="I42" s="42"/>
      <c r="J42" s="42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9">
      <c r="B43" s="3"/>
      <c r="C43" s="3"/>
      <c r="D43" s="3"/>
      <c r="F43" s="3"/>
      <c r="G43" s="3"/>
      <c r="H43" s="3" t="s">
        <v>187</v>
      </c>
      <c r="I43" s="42"/>
      <c r="J43" s="42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9">
      <c r="B44" s="73" t="s">
        <v>95</v>
      </c>
      <c r="C44" s="3"/>
      <c r="D44" s="3"/>
      <c r="F44" s="3"/>
      <c r="G44" s="3"/>
      <c r="H44" s="3" t="s">
        <v>188</v>
      </c>
      <c r="I44" s="42"/>
      <c r="J44" s="42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9">
      <c r="B45" s="80" t="s">
        <v>76</v>
      </c>
      <c r="C45" s="3"/>
      <c r="D45" s="3"/>
      <c r="F45" s="3"/>
      <c r="G45" s="3"/>
      <c r="H45" s="3" t="s">
        <v>189</v>
      </c>
      <c r="I45" s="42"/>
      <c r="J45" s="42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9">
      <c r="B46" s="80" t="s">
        <v>77</v>
      </c>
      <c r="C46" s="3"/>
      <c r="D46" s="3"/>
      <c r="F46" s="3"/>
      <c r="G46" s="3"/>
      <c r="H46" s="42"/>
      <c r="I46" s="42"/>
      <c r="J46" s="42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9">
      <c r="B47" s="80" t="s">
        <v>80</v>
      </c>
      <c r="C47" s="3"/>
      <c r="D47" s="3"/>
      <c r="F47" s="3"/>
      <c r="G47" s="3"/>
      <c r="H47" s="42"/>
      <c r="I47" s="42"/>
      <c r="J47" s="42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9">
      <c r="B48" s="80" t="s">
        <v>96</v>
      </c>
      <c r="C48" s="3"/>
      <c r="D48" s="3"/>
      <c r="F48" s="3"/>
      <c r="G48" s="3"/>
      <c r="H48" s="42"/>
      <c r="I48" s="3"/>
      <c r="J48" s="42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2:15">
      <c r="B49" s="43" t="s">
        <v>81</v>
      </c>
      <c r="F49" s="3"/>
      <c r="G49" s="3"/>
      <c r="H49" s="42"/>
      <c r="I49" s="3"/>
      <c r="J49" s="42"/>
      <c r="O49" s="3"/>
    </row>
    <row r="50" spans="2:15">
      <c r="B50" s="43" t="s">
        <v>78</v>
      </c>
      <c r="H50" s="42"/>
      <c r="I50" s="3"/>
      <c r="J50" s="42"/>
      <c r="O50" s="3"/>
    </row>
    <row r="51" spans="2:15">
      <c r="B51" s="43" t="s">
        <v>79</v>
      </c>
      <c r="H51" s="42"/>
      <c r="I51" s="3"/>
      <c r="J51" s="42"/>
      <c r="O51" s="3"/>
    </row>
    <row r="52" spans="2:15">
      <c r="B52" s="43" t="s">
        <v>93</v>
      </c>
      <c r="H52" s="42"/>
      <c r="I52" s="42"/>
      <c r="J52" s="42"/>
      <c r="O52" s="3"/>
    </row>
    <row r="53" spans="2:15">
      <c r="B53" s="43" t="s">
        <v>94</v>
      </c>
      <c r="H53" s="42"/>
      <c r="I53" s="42"/>
      <c r="J53" s="42"/>
      <c r="K53" s="3"/>
      <c r="L53" s="3"/>
      <c r="M53" s="3"/>
      <c r="N53" s="3"/>
    </row>
    <row r="54" spans="2:15">
      <c r="J54" s="42"/>
      <c r="K54" s="3"/>
      <c r="L54" s="3"/>
      <c r="M54" s="3"/>
      <c r="N54" s="3"/>
    </row>
    <row r="55" spans="2:15">
      <c r="B55" s="73" t="s">
        <v>118</v>
      </c>
      <c r="C55" s="3"/>
      <c r="D55" s="3"/>
      <c r="J55" s="42"/>
      <c r="K55" s="3"/>
      <c r="L55" s="3"/>
      <c r="M55" s="3"/>
      <c r="N55" s="3"/>
    </row>
    <row r="56" spans="2:15">
      <c r="B56" s="77" t="s">
        <v>100</v>
      </c>
      <c r="C56" s="3" t="s">
        <v>113</v>
      </c>
      <c r="E56" s="3" t="s">
        <v>135</v>
      </c>
      <c r="F56" s="3"/>
      <c r="J56" s="42"/>
    </row>
    <row r="57" spans="2:15">
      <c r="B57" s="77" t="s">
        <v>27</v>
      </c>
      <c r="C57" s="3" t="s">
        <v>114</v>
      </c>
      <c r="E57" s="3" t="s">
        <v>136</v>
      </c>
      <c r="F57" s="3"/>
    </row>
    <row r="58" spans="2:15">
      <c r="B58" s="3" t="s">
        <v>83</v>
      </c>
      <c r="C58" s="3" t="s">
        <v>115</v>
      </c>
      <c r="E58" s="3" t="s">
        <v>137</v>
      </c>
      <c r="F58" s="3"/>
    </row>
    <row r="59" spans="2:15">
      <c r="B59" s="77" t="s">
        <v>10</v>
      </c>
      <c r="C59" s="3" t="s">
        <v>116</v>
      </c>
      <c r="E59" s="3" t="s">
        <v>138</v>
      </c>
      <c r="F59" s="3"/>
    </row>
    <row r="60" spans="2:15">
      <c r="B60" s="3" t="s">
        <v>9</v>
      </c>
      <c r="C60" s="3" t="s">
        <v>117</v>
      </c>
      <c r="E60" s="3" t="s">
        <v>139</v>
      </c>
      <c r="F60" s="3"/>
    </row>
    <row r="61" spans="2:15">
      <c r="B61" s="77" t="s">
        <v>11</v>
      </c>
      <c r="C61" s="3" t="s">
        <v>120</v>
      </c>
      <c r="E61" s="3" t="s">
        <v>140</v>
      </c>
      <c r="F61" s="3"/>
    </row>
    <row r="62" spans="2:15">
      <c r="B62" s="3" t="s">
        <v>12</v>
      </c>
      <c r="C62" s="3" t="s">
        <v>141</v>
      </c>
      <c r="D62" s="3"/>
      <c r="E62" s="3" t="s">
        <v>142</v>
      </c>
      <c r="F62" s="3"/>
    </row>
    <row r="63" spans="2:15">
      <c r="B63" s="3"/>
      <c r="C63" s="3"/>
      <c r="D63" s="3"/>
      <c r="F63" s="3"/>
    </row>
    <row r="64" spans="2:15">
      <c r="B64" s="3"/>
      <c r="C64" s="3"/>
      <c r="D64" s="3"/>
      <c r="F64" s="3"/>
    </row>
    <row r="65" spans="2:6">
      <c r="B65" s="3"/>
      <c r="C65" s="3"/>
      <c r="D65" s="3"/>
      <c r="F65" s="3"/>
    </row>
    <row r="66" spans="2:6">
      <c r="B66" s="42"/>
      <c r="C66" s="3"/>
      <c r="D66" s="3"/>
      <c r="F66" s="3"/>
    </row>
    <row r="67" spans="2:6">
      <c r="B67" s="42"/>
      <c r="C67" s="3"/>
      <c r="D67" s="3"/>
    </row>
    <row r="68" spans="2:6">
      <c r="B68" s="42"/>
      <c r="C68" s="3"/>
      <c r="D68" s="3"/>
    </row>
    <row r="69" spans="2:6">
      <c r="B69" s="3"/>
      <c r="C69" s="3"/>
      <c r="D69" s="3"/>
    </row>
    <row r="70" spans="2:6">
      <c r="C70" s="3"/>
      <c r="D70" s="3"/>
    </row>
    <row r="71" spans="2:6">
      <c r="B71" s="3"/>
      <c r="C71" s="3"/>
      <c r="D71" s="3"/>
    </row>
  </sheetData>
  <conditionalFormatting sqref="D28">
    <cfRule type="expression" dxfId="8" priority="23">
      <formula>($D$28-$D$27)&gt;0</formula>
    </cfRule>
  </conditionalFormatting>
  <conditionalFormatting sqref="D27">
    <cfRule type="expression" dxfId="7" priority="26">
      <formula>($D$27-$D$28)&gt;0</formula>
    </cfRule>
  </conditionalFormatting>
  <conditionalFormatting sqref="K15:N15 J16:N25">
    <cfRule type="expression" dxfId="6" priority="21">
      <formula>$L15&gt;0</formula>
    </cfRule>
  </conditionalFormatting>
  <conditionalFormatting sqref="J15">
    <cfRule type="expression" dxfId="5" priority="16">
      <formula>$L15&gt;0</formula>
    </cfRule>
  </conditionalFormatting>
  <conditionalFormatting sqref="H15">
    <cfRule type="expression" dxfId="4" priority="12">
      <formula>ABS(ROUND(H15,2)-ROUND(D15,2))&gt;0</formula>
    </cfRule>
  </conditionalFormatting>
  <conditionalFormatting sqref="H16:H22">
    <cfRule type="expression" dxfId="3" priority="9">
      <formula>ABS(ROUND(H16,2)-ROUND(D16,2))&gt;0</formula>
    </cfRule>
  </conditionalFormatting>
  <conditionalFormatting sqref="G15">
    <cfRule type="expression" dxfId="2" priority="7">
      <formula>ABS(ROUND(G15,2)-ROUND(C15,2))&gt;0</formula>
    </cfRule>
  </conditionalFormatting>
  <conditionalFormatting sqref="G16:G22">
    <cfRule type="expression" dxfId="1" priority="6">
      <formula>ABS(ROUND(G16,2)-ROUND(C16,2))&gt;0</formula>
    </cfRule>
  </conditionalFormatting>
  <conditionalFormatting sqref="J26">
    <cfRule type="expression" dxfId="0" priority="30">
      <formula>#REF!&gt;0</formula>
    </cfRule>
  </conditionalFormatting>
  <dataValidations count="1">
    <dataValidation type="list" allowBlank="1" showInputMessage="1" showErrorMessage="1" sqref="C13">
      <formula1>'mineral waters lookup'!A2:A50</formula1>
    </dataValidation>
  </dataValidations>
  <hyperlinks>
    <hyperlink ref="B36" r:id="rId1"/>
    <hyperlink ref="B38" r:id="rId2"/>
    <hyperlink ref="B37" r:id="rId3"/>
  </hyperlinks>
  <pageMargins left="0.70866141732283472" right="0.70866141732283472" top="0.74803149606299213" bottom="0.74803149606299213" header="0.31496062992125984" footer="0.31496062992125984"/>
  <pageSetup paperSize="9" scale="68" orientation="landscape" verticalDpi="0" r:id="rId4"/>
  <ignoredErrors>
    <ignoredError sqref="L23:L24" formula="1"/>
  </ignoredError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100"/>
  <sheetViews>
    <sheetView zoomScaleNormal="100" workbookViewId="0">
      <pane ySplit="1" topLeftCell="A11" activePane="bottomLeft" state="frozen"/>
      <selection pane="bottomLeft" activeCell="A2" sqref="A2"/>
    </sheetView>
  </sheetViews>
  <sheetFormatPr defaultRowHeight="15"/>
  <cols>
    <col min="1" max="1" width="27.28515625" bestFit="1" customWidth="1"/>
    <col min="3" max="3" width="9.140625" customWidth="1"/>
    <col min="4" max="5" width="10.28515625" customWidth="1"/>
    <col min="13" max="13" width="16.140625" style="120" bestFit="1" customWidth="1"/>
    <col min="14" max="14" width="16.140625" style="120" customWidth="1"/>
    <col min="15" max="18" width="9.140625" style="118"/>
    <col min="19" max="19" width="10.85546875" bestFit="1" customWidth="1"/>
    <col min="20" max="20" width="139.5703125" bestFit="1" customWidth="1"/>
    <col min="21" max="21" width="98" bestFit="1" customWidth="1"/>
  </cols>
  <sheetData>
    <row r="1" spans="1:27" s="32" customFormat="1">
      <c r="A1" s="16"/>
      <c r="B1" s="16" t="s">
        <v>0</v>
      </c>
      <c r="C1" s="16" t="s">
        <v>1</v>
      </c>
      <c r="D1" s="16" t="s">
        <v>2</v>
      </c>
      <c r="E1" s="16" t="s">
        <v>62</v>
      </c>
      <c r="F1" s="16" t="s">
        <v>3</v>
      </c>
      <c r="G1" s="16" t="s">
        <v>4</v>
      </c>
      <c r="H1" s="16" t="s">
        <v>5</v>
      </c>
      <c r="I1" s="16" t="s">
        <v>55</v>
      </c>
      <c r="J1" s="16" t="s">
        <v>14</v>
      </c>
      <c r="K1" s="16" t="s">
        <v>13</v>
      </c>
      <c r="L1" s="16" t="s">
        <v>33</v>
      </c>
      <c r="M1" s="119" t="s">
        <v>163</v>
      </c>
      <c r="N1" s="119" t="s">
        <v>169</v>
      </c>
      <c r="O1" s="117" t="s">
        <v>109</v>
      </c>
      <c r="P1" s="117" t="s">
        <v>110</v>
      </c>
      <c r="Q1" s="117" t="s">
        <v>153</v>
      </c>
      <c r="R1" s="117" t="s">
        <v>154</v>
      </c>
      <c r="S1" s="16" t="s">
        <v>170</v>
      </c>
      <c r="T1" s="16" t="s">
        <v>144</v>
      </c>
      <c r="U1" s="16" t="s">
        <v>157</v>
      </c>
      <c r="V1" s="103"/>
      <c r="W1" s="3"/>
      <c r="X1" s="3"/>
      <c r="Y1" s="103"/>
      <c r="Z1" s="103"/>
      <c r="AA1" s="103"/>
    </row>
    <row r="2" spans="1:27">
      <c r="A2" t="s">
        <v>30</v>
      </c>
      <c r="B2">
        <v>30.2</v>
      </c>
      <c r="C2">
        <v>6.9</v>
      </c>
      <c r="D2">
        <v>6.5</v>
      </c>
      <c r="E2">
        <v>0.9</v>
      </c>
      <c r="F2">
        <v>100</v>
      </c>
      <c r="G2">
        <v>21.4</v>
      </c>
      <c r="H2">
        <v>7.1</v>
      </c>
      <c r="I2">
        <v>5.7</v>
      </c>
      <c r="J2">
        <v>8.0000000000000002E-3</v>
      </c>
      <c r="K2">
        <v>8.1999999999999993</v>
      </c>
      <c r="L2">
        <v>137</v>
      </c>
      <c r="M2" s="120">
        <f t="shared" ref="M2:M40" si="0">SUM(B2:I2)</f>
        <v>178.7</v>
      </c>
      <c r="N2" s="120">
        <f t="shared" ref="N2:N40" si="1">ABS(L2-M2)</f>
        <v>41.699999999999989</v>
      </c>
      <c r="O2" s="118">
        <f>B2/C2</f>
        <v>4.3768115942028984</v>
      </c>
      <c r="P2" s="118">
        <f>B2/D2</f>
        <v>4.6461538461538456</v>
      </c>
      <c r="Q2" s="118">
        <f t="shared" ref="Q2:Q47" si="2">2*B2/40.078+2*C2/24.305+D2/22.99+E2/39.098</f>
        <v>2.3805963398054502</v>
      </c>
      <c r="R2" s="118">
        <f t="shared" ref="R2:R47" si="3">F2/61.01+2*G2/96.06+H2/35.45+I2/62.005</f>
        <v>2.3768405806922663</v>
      </c>
      <c r="S2" s="116">
        <f t="shared" ref="S2:S47" si="4">ABS(Q2-R2)</f>
        <v>3.7557591131838208E-3</v>
      </c>
      <c r="W2" s="3"/>
      <c r="X2" s="3"/>
      <c r="Y2" s="3"/>
      <c r="Z2" s="3"/>
      <c r="AA2" s="3"/>
    </row>
    <row r="3" spans="1:27">
      <c r="A3" t="s">
        <v>70</v>
      </c>
      <c r="B3">
        <v>3.5</v>
      </c>
      <c r="C3">
        <v>1.8</v>
      </c>
      <c r="D3">
        <v>11</v>
      </c>
      <c r="E3">
        <v>3.3</v>
      </c>
      <c r="F3">
        <v>35</v>
      </c>
      <c r="G3">
        <v>4.5</v>
      </c>
      <c r="H3">
        <v>7</v>
      </c>
      <c r="I3">
        <v>1.5</v>
      </c>
      <c r="K3">
        <v>6.5</v>
      </c>
      <c r="L3">
        <v>130</v>
      </c>
      <c r="M3" s="120">
        <f t="shared" si="0"/>
        <v>67.599999999999994</v>
      </c>
      <c r="N3" s="120">
        <f t="shared" si="1"/>
        <v>62.400000000000006</v>
      </c>
      <c r="O3" s="118">
        <f>B3/C3</f>
        <v>1.9444444444444444</v>
      </c>
      <c r="P3" s="118">
        <f>B3/D3</f>
        <v>0.31818181818181818</v>
      </c>
      <c r="Q3" s="118">
        <f t="shared" si="2"/>
        <v>0.88564927921116365</v>
      </c>
      <c r="R3" s="118">
        <f t="shared" si="3"/>
        <v>0.88902069976024378</v>
      </c>
      <c r="S3" s="116">
        <f t="shared" si="4"/>
        <v>3.3714205490801286E-3</v>
      </c>
      <c r="T3" t="s">
        <v>150</v>
      </c>
      <c r="V3" s="3"/>
      <c r="W3" s="3"/>
      <c r="X3" s="3"/>
      <c r="Y3" s="3"/>
      <c r="Z3" s="3"/>
      <c r="AA3" s="3"/>
    </row>
    <row r="4" spans="1:27">
      <c r="A4" t="s">
        <v>31</v>
      </c>
      <c r="B4">
        <v>100</v>
      </c>
      <c r="C4">
        <v>130</v>
      </c>
      <c r="D4">
        <v>410</v>
      </c>
      <c r="E4">
        <v>20</v>
      </c>
      <c r="F4">
        <v>1810</v>
      </c>
      <c r="G4">
        <v>80</v>
      </c>
      <c r="H4">
        <v>100</v>
      </c>
      <c r="I4">
        <v>1.6</v>
      </c>
      <c r="L4">
        <v>2767</v>
      </c>
      <c r="M4" s="120">
        <f t="shared" si="0"/>
        <v>2651.6</v>
      </c>
      <c r="N4" s="120">
        <f t="shared" si="1"/>
        <v>115.40000000000009</v>
      </c>
      <c r="O4" s="118">
        <f>B4/C4</f>
        <v>0.76923076923076927</v>
      </c>
      <c r="P4" s="118">
        <f>B4/D4</f>
        <v>0.24390243902439024</v>
      </c>
      <c r="Q4" s="118">
        <f t="shared" si="2"/>
        <v>34.033032261585674</v>
      </c>
      <c r="R4" s="118">
        <f t="shared" si="3"/>
        <v>34.17957215337551</v>
      </c>
      <c r="S4" s="116">
        <f t="shared" si="4"/>
        <v>0.14653989178983551</v>
      </c>
      <c r="T4" t="s">
        <v>151</v>
      </c>
      <c r="V4" s="3"/>
      <c r="W4" s="3"/>
      <c r="X4" s="3"/>
      <c r="Y4" s="3"/>
      <c r="Z4" s="3"/>
      <c r="AA4" s="3"/>
    </row>
    <row r="5" spans="1:27">
      <c r="A5" t="s">
        <v>124</v>
      </c>
      <c r="B5">
        <v>106</v>
      </c>
      <c r="C5">
        <v>23.3</v>
      </c>
      <c r="D5">
        <v>19.7</v>
      </c>
      <c r="F5">
        <v>423</v>
      </c>
      <c r="H5">
        <v>32.200000000000003</v>
      </c>
      <c r="L5">
        <v>613</v>
      </c>
      <c r="M5" s="120">
        <f t="shared" si="0"/>
        <v>604.20000000000005</v>
      </c>
      <c r="N5" s="120">
        <f t="shared" si="1"/>
        <v>8.7999999999999545</v>
      </c>
      <c r="Q5" s="118">
        <f t="shared" si="2"/>
        <v>8.0638803827772669</v>
      </c>
      <c r="R5" s="118">
        <f t="shared" si="3"/>
        <v>7.841611204341401</v>
      </c>
      <c r="S5" s="116">
        <f t="shared" si="4"/>
        <v>0.22226917843586591</v>
      </c>
      <c r="T5" t="s">
        <v>151</v>
      </c>
      <c r="V5" s="3"/>
      <c r="W5" s="3"/>
      <c r="X5" s="3"/>
      <c r="Y5" s="3"/>
      <c r="Z5" s="3"/>
      <c r="AA5" s="3"/>
    </row>
    <row r="6" spans="1:27">
      <c r="A6" t="s">
        <v>178</v>
      </c>
      <c r="B6">
        <v>100</v>
      </c>
      <c r="C6">
        <v>100</v>
      </c>
      <c r="D6">
        <v>125</v>
      </c>
      <c r="E6">
        <v>0</v>
      </c>
      <c r="F6">
        <v>670</v>
      </c>
      <c r="G6">
        <v>300</v>
      </c>
      <c r="H6">
        <v>50</v>
      </c>
      <c r="M6" s="120">
        <f t="shared" si="0"/>
        <v>1345</v>
      </c>
      <c r="N6" s="120">
        <f t="shared" si="1"/>
        <v>1345</v>
      </c>
      <c r="O6" s="118">
        <f t="shared" ref="O6:O21" si="5">B6/C6</f>
        <v>1</v>
      </c>
      <c r="P6" s="118">
        <f t="shared" ref="P6:P21" si="6">B6/D6</f>
        <v>0.8</v>
      </c>
      <c r="Q6" s="118">
        <f t="shared" si="2"/>
        <v>18.656175075472913</v>
      </c>
      <c r="R6" s="118">
        <f t="shared" si="3"/>
        <v>18.638339686692987</v>
      </c>
      <c r="S6" s="116">
        <f t="shared" si="4"/>
        <v>1.783538877992541E-2</v>
      </c>
      <c r="T6" t="s">
        <v>177</v>
      </c>
      <c r="V6" s="3"/>
      <c r="W6" s="3"/>
      <c r="X6" s="3"/>
      <c r="Y6" s="3"/>
      <c r="Z6" s="3"/>
      <c r="AA6" s="3"/>
    </row>
    <row r="7" spans="1:27">
      <c r="A7" t="s">
        <v>84</v>
      </c>
      <c r="B7">
        <v>190</v>
      </c>
      <c r="C7">
        <v>85</v>
      </c>
      <c r="D7">
        <v>165</v>
      </c>
      <c r="E7">
        <v>10</v>
      </c>
      <c r="F7">
        <v>1300</v>
      </c>
      <c r="G7">
        <v>38</v>
      </c>
      <c r="H7">
        <v>44</v>
      </c>
      <c r="J7">
        <v>2500</v>
      </c>
      <c r="K7">
        <v>6</v>
      </c>
      <c r="L7">
        <v>1200</v>
      </c>
      <c r="M7" s="120">
        <f t="shared" si="0"/>
        <v>1832</v>
      </c>
      <c r="N7" s="120">
        <f t="shared" si="1"/>
        <v>632</v>
      </c>
      <c r="O7" s="118">
        <f t="shared" si="5"/>
        <v>2.2352941176470589</v>
      </c>
      <c r="P7" s="118">
        <f t="shared" si="6"/>
        <v>1.1515151515151516</v>
      </c>
      <c r="Q7" s="118">
        <f t="shared" si="2"/>
        <v>23.908757692039345</v>
      </c>
      <c r="R7" s="118">
        <f t="shared" si="3"/>
        <v>23.340339249313431</v>
      </c>
      <c r="S7" s="116">
        <f t="shared" si="4"/>
        <v>0.56841844272591402</v>
      </c>
      <c r="T7" t="s">
        <v>152</v>
      </c>
      <c r="V7" s="3"/>
      <c r="W7" s="3"/>
      <c r="X7" s="3"/>
      <c r="Y7" s="3"/>
      <c r="Z7" s="3"/>
      <c r="AA7" s="3"/>
    </row>
    <row r="8" spans="1:27">
      <c r="A8" t="s">
        <v>15</v>
      </c>
      <c r="B8">
        <v>317.5</v>
      </c>
      <c r="C8">
        <v>106.6</v>
      </c>
      <c r="D8">
        <v>76.599999999999994</v>
      </c>
      <c r="E8">
        <v>12</v>
      </c>
      <c r="F8">
        <v>1660</v>
      </c>
      <c r="G8">
        <v>22.2</v>
      </c>
      <c r="H8">
        <v>20.5</v>
      </c>
      <c r="K8">
        <v>6.45</v>
      </c>
      <c r="L8">
        <v>1402</v>
      </c>
      <c r="M8" s="120">
        <f t="shared" si="0"/>
        <v>2215.3999999999996</v>
      </c>
      <c r="N8" s="120">
        <f t="shared" si="1"/>
        <v>813.39999999999964</v>
      </c>
      <c r="O8" s="118">
        <f t="shared" si="5"/>
        <v>2.9784240150093808</v>
      </c>
      <c r="P8" s="118">
        <f t="shared" si="6"/>
        <v>4.1449086161879896</v>
      </c>
      <c r="Q8" s="118">
        <f t="shared" si="2"/>
        <v>28.254766137374521</v>
      </c>
      <c r="R8" s="118">
        <f t="shared" si="3"/>
        <v>28.249144703587959</v>
      </c>
      <c r="S8" s="116">
        <f t="shared" si="4"/>
        <v>5.6214337865618802E-3</v>
      </c>
      <c r="T8" t="s">
        <v>156</v>
      </c>
      <c r="U8" t="s">
        <v>161</v>
      </c>
      <c r="V8" s="3"/>
      <c r="W8" s="3"/>
      <c r="X8" s="3"/>
      <c r="Y8" s="3"/>
      <c r="Z8" s="3"/>
      <c r="AA8" s="3"/>
    </row>
    <row r="9" spans="1:27">
      <c r="A9" t="s">
        <v>145</v>
      </c>
      <c r="B9">
        <v>268</v>
      </c>
      <c r="C9">
        <v>62</v>
      </c>
      <c r="D9">
        <v>30</v>
      </c>
      <c r="F9">
        <v>141</v>
      </c>
      <c r="G9">
        <v>638</v>
      </c>
      <c r="H9">
        <v>36</v>
      </c>
      <c r="I9">
        <v>31</v>
      </c>
      <c r="M9" s="120">
        <f t="shared" si="0"/>
        <v>1206</v>
      </c>
      <c r="N9" s="120">
        <f t="shared" si="1"/>
        <v>1206</v>
      </c>
      <c r="O9" s="118">
        <f t="shared" si="5"/>
        <v>4.32258064516129</v>
      </c>
      <c r="P9" s="118">
        <f t="shared" si="6"/>
        <v>8.9333333333333336</v>
      </c>
      <c r="Q9" s="118">
        <f t="shared" si="2"/>
        <v>19.780666933839289</v>
      </c>
      <c r="R9" s="118">
        <f t="shared" si="3"/>
        <v>17.109935595626734</v>
      </c>
      <c r="S9" s="116">
        <f t="shared" si="4"/>
        <v>2.6707313382125548</v>
      </c>
      <c r="V9" s="3"/>
      <c r="W9" s="3"/>
      <c r="X9" s="3"/>
      <c r="Y9" s="3"/>
      <c r="Z9" s="3"/>
      <c r="AA9" s="3"/>
    </row>
    <row r="10" spans="1:27">
      <c r="A10" t="s">
        <v>72</v>
      </c>
      <c r="B10">
        <v>3.6</v>
      </c>
      <c r="C10">
        <v>0</v>
      </c>
      <c r="D10">
        <v>170</v>
      </c>
      <c r="E10">
        <v>14</v>
      </c>
      <c r="F10">
        <v>22</v>
      </c>
      <c r="G10">
        <v>110</v>
      </c>
      <c r="H10">
        <v>210</v>
      </c>
      <c r="K10">
        <v>4.75</v>
      </c>
      <c r="L10">
        <v>580</v>
      </c>
      <c r="M10" s="120">
        <f t="shared" si="0"/>
        <v>529.6</v>
      </c>
      <c r="N10" s="120">
        <f t="shared" si="1"/>
        <v>50.399999999999977</v>
      </c>
      <c r="O10" s="118" t="e">
        <f t="shared" si="5"/>
        <v>#DIV/0!</v>
      </c>
      <c r="P10" s="118">
        <f t="shared" si="6"/>
        <v>2.1176470588235293E-2</v>
      </c>
      <c r="Q10" s="118">
        <f t="shared" si="2"/>
        <v>7.9322436211798069</v>
      </c>
      <c r="R10" s="118">
        <f t="shared" si="3"/>
        <v>8.5746682824081724</v>
      </c>
      <c r="S10" s="116">
        <f t="shared" si="4"/>
        <v>0.6424246612283655</v>
      </c>
      <c r="T10" t="s">
        <v>183</v>
      </c>
      <c r="U10" t="s">
        <v>160</v>
      </c>
    </row>
    <row r="11" spans="1:27">
      <c r="A11" t="s">
        <v>184</v>
      </c>
      <c r="B11">
        <v>4.5</v>
      </c>
      <c r="C11">
        <v>2</v>
      </c>
      <c r="D11">
        <v>41</v>
      </c>
      <c r="E11">
        <v>6.4</v>
      </c>
      <c r="F11">
        <v>56</v>
      </c>
      <c r="G11">
        <v>21</v>
      </c>
      <c r="H11">
        <v>41</v>
      </c>
      <c r="K11">
        <v>7</v>
      </c>
      <c r="L11">
        <v>172</v>
      </c>
      <c r="M11" s="120">
        <f t="shared" si="0"/>
        <v>171.9</v>
      </c>
      <c r="N11" s="120">
        <f t="shared" si="1"/>
        <v>9.9999999999994316E-2</v>
      </c>
      <c r="O11" s="118">
        <f t="shared" si="5"/>
        <v>2.25</v>
      </c>
      <c r="P11" s="118">
        <f t="shared" si="6"/>
        <v>0.10975609756097561</v>
      </c>
      <c r="Q11" s="118">
        <f t="shared" si="2"/>
        <v>2.3362126116257094</v>
      </c>
      <c r="R11" s="118">
        <f t="shared" si="3"/>
        <v>2.5116675808116602</v>
      </c>
      <c r="S11" s="116">
        <f t="shared" si="4"/>
        <v>0.17545496918595083</v>
      </c>
      <c r="T11" t="s">
        <v>185</v>
      </c>
      <c r="U11" t="s">
        <v>160</v>
      </c>
    </row>
    <row r="12" spans="1:27">
      <c r="A12" t="s">
        <v>159</v>
      </c>
      <c r="B12">
        <v>103</v>
      </c>
      <c r="C12">
        <v>52.2</v>
      </c>
      <c r="D12">
        <v>103</v>
      </c>
      <c r="E12">
        <v>22.2</v>
      </c>
      <c r="F12">
        <v>505</v>
      </c>
      <c r="G12">
        <v>205</v>
      </c>
      <c r="H12">
        <v>76.599999999999994</v>
      </c>
      <c r="M12" s="120">
        <f t="shared" si="0"/>
        <v>1067</v>
      </c>
      <c r="N12" s="120">
        <f t="shared" si="1"/>
        <v>1067</v>
      </c>
      <c r="O12" s="118">
        <f t="shared" si="5"/>
        <v>1.9731800766283525</v>
      </c>
      <c r="P12" s="118">
        <f t="shared" si="6"/>
        <v>1</v>
      </c>
      <c r="Q12" s="118">
        <f t="shared" si="2"/>
        <v>14.483402277505467</v>
      </c>
      <c r="R12" s="118">
        <f t="shared" si="3"/>
        <v>14.706287159590209</v>
      </c>
      <c r="S12" s="116">
        <f t="shared" si="4"/>
        <v>0.22288488208474178</v>
      </c>
      <c r="U12" s="3" t="s">
        <v>158</v>
      </c>
    </row>
    <row r="13" spans="1:27">
      <c r="A13" t="s">
        <v>121</v>
      </c>
      <c r="B13">
        <v>468</v>
      </c>
      <c r="C13">
        <v>74.5</v>
      </c>
      <c r="D13">
        <v>9.4</v>
      </c>
      <c r="E13">
        <v>3.2</v>
      </c>
      <c r="F13">
        <v>372</v>
      </c>
      <c r="G13">
        <v>1121</v>
      </c>
      <c r="H13">
        <v>10</v>
      </c>
      <c r="I13">
        <v>2.9</v>
      </c>
      <c r="J13" t="s">
        <v>103</v>
      </c>
      <c r="L13">
        <v>2078</v>
      </c>
      <c r="M13" s="120">
        <f t="shared" si="0"/>
        <v>2061</v>
      </c>
      <c r="N13" s="120">
        <f t="shared" si="1"/>
        <v>17</v>
      </c>
      <c r="O13" s="118">
        <f t="shared" si="5"/>
        <v>6.2818791946308723</v>
      </c>
      <c r="P13" s="118">
        <f t="shared" si="6"/>
        <v>49.787234042553187</v>
      </c>
      <c r="Q13" s="118">
        <f t="shared" si="2"/>
        <v>29.975603685563698</v>
      </c>
      <c r="R13" s="118">
        <f t="shared" si="3"/>
        <v>29.765798386718174</v>
      </c>
      <c r="S13" s="116">
        <f t="shared" si="4"/>
        <v>0.20980529884552368</v>
      </c>
    </row>
    <row r="14" spans="1:27">
      <c r="A14" t="s">
        <v>65</v>
      </c>
      <c r="B14">
        <v>287.10000000000002</v>
      </c>
      <c r="C14">
        <v>8.61</v>
      </c>
      <c r="D14">
        <v>23.5</v>
      </c>
      <c r="E14">
        <v>2.7</v>
      </c>
      <c r="F14">
        <v>0</v>
      </c>
      <c r="G14">
        <v>25.5</v>
      </c>
      <c r="H14">
        <v>10.9</v>
      </c>
      <c r="I14">
        <v>1.66</v>
      </c>
      <c r="J14">
        <v>4300</v>
      </c>
      <c r="K14">
        <v>5.6</v>
      </c>
      <c r="M14" s="120">
        <f t="shared" si="0"/>
        <v>359.97</v>
      </c>
      <c r="N14" s="120">
        <f t="shared" si="1"/>
        <v>359.97</v>
      </c>
      <c r="O14" s="118">
        <f t="shared" si="5"/>
        <v>33.344947735191646</v>
      </c>
      <c r="P14" s="118">
        <f t="shared" si="6"/>
        <v>12.217021276595746</v>
      </c>
      <c r="Q14" s="118">
        <f t="shared" si="2"/>
        <v>16.126799221701155</v>
      </c>
      <c r="R14" s="118">
        <f t="shared" si="3"/>
        <v>0.86516552800163615</v>
      </c>
      <c r="S14" s="116">
        <f t="shared" si="4"/>
        <v>15.261633693699519</v>
      </c>
      <c r="T14" t="s">
        <v>156</v>
      </c>
      <c r="U14" t="s">
        <v>155</v>
      </c>
    </row>
    <row r="15" spans="1:27">
      <c r="A15" t="s">
        <v>18</v>
      </c>
      <c r="B15">
        <v>78</v>
      </c>
      <c r="C15">
        <v>24</v>
      </c>
      <c r="D15">
        <v>5</v>
      </c>
      <c r="E15">
        <v>1</v>
      </c>
      <c r="F15">
        <v>357</v>
      </c>
      <c r="G15">
        <v>10</v>
      </c>
      <c r="H15">
        <v>4.5</v>
      </c>
      <c r="I15">
        <v>3.8</v>
      </c>
      <c r="J15" t="s">
        <v>103</v>
      </c>
      <c r="K15">
        <v>7.2</v>
      </c>
      <c r="L15">
        <v>357</v>
      </c>
      <c r="M15" s="120">
        <f t="shared" si="0"/>
        <v>483.3</v>
      </c>
      <c r="N15" s="120">
        <f t="shared" si="1"/>
        <v>126.30000000000001</v>
      </c>
      <c r="O15" s="118">
        <f t="shared" si="5"/>
        <v>3.25</v>
      </c>
      <c r="P15" s="118">
        <f t="shared" si="6"/>
        <v>15.6</v>
      </c>
      <c r="Q15" s="118">
        <f t="shared" si="2"/>
        <v>6.1103747036321989</v>
      </c>
      <c r="R15" s="118">
        <f t="shared" si="3"/>
        <v>6.2479276918781883</v>
      </c>
      <c r="S15" s="116">
        <f t="shared" si="4"/>
        <v>0.13755298824598938</v>
      </c>
    </row>
    <row r="16" spans="1:27">
      <c r="A16" t="s">
        <v>16</v>
      </c>
      <c r="B16">
        <v>26</v>
      </c>
      <c r="C16">
        <v>30</v>
      </c>
      <c r="D16">
        <v>400</v>
      </c>
      <c r="F16">
        <v>300</v>
      </c>
      <c r="G16">
        <v>15</v>
      </c>
      <c r="H16">
        <v>590</v>
      </c>
      <c r="K16">
        <v>5.5</v>
      </c>
      <c r="L16">
        <v>1400</v>
      </c>
      <c r="M16" s="120">
        <f t="shared" si="0"/>
        <v>1361</v>
      </c>
      <c r="N16" s="120">
        <f t="shared" si="1"/>
        <v>39</v>
      </c>
      <c r="O16" s="118">
        <f t="shared" si="5"/>
        <v>0.8666666666666667</v>
      </c>
      <c r="P16" s="118">
        <f t="shared" si="6"/>
        <v>6.5000000000000002E-2</v>
      </c>
      <c r="Q16" s="118">
        <f t="shared" si="2"/>
        <v>21.164966861490601</v>
      </c>
      <c r="R16" s="118">
        <f t="shared" si="3"/>
        <v>21.87269087305182</v>
      </c>
      <c r="S16" s="116">
        <f t="shared" si="4"/>
        <v>0.70772401156121845</v>
      </c>
    </row>
    <row r="17" spans="1:21">
      <c r="A17" t="s">
        <v>101</v>
      </c>
      <c r="B17">
        <v>15.9</v>
      </c>
      <c r="C17">
        <v>6.3</v>
      </c>
      <c r="D17">
        <v>6.4</v>
      </c>
      <c r="E17">
        <v>4.4000000000000004</v>
      </c>
      <c r="F17">
        <v>81.7</v>
      </c>
      <c r="G17">
        <v>6</v>
      </c>
      <c r="H17">
        <v>13.9</v>
      </c>
      <c r="I17">
        <v>7</v>
      </c>
      <c r="J17">
        <v>8</v>
      </c>
      <c r="K17">
        <v>6.8</v>
      </c>
      <c r="L17">
        <v>122</v>
      </c>
      <c r="M17" s="120">
        <f t="shared" si="0"/>
        <v>141.6</v>
      </c>
      <c r="N17" s="120">
        <f t="shared" si="1"/>
        <v>19.599999999999994</v>
      </c>
      <c r="O17" s="118">
        <f t="shared" si="5"/>
        <v>2.5238095238095237</v>
      </c>
      <c r="P17" s="118">
        <f t="shared" si="6"/>
        <v>2.484375</v>
      </c>
      <c r="Q17" s="118">
        <f t="shared" si="2"/>
        <v>1.7027842474088817</v>
      </c>
      <c r="R17" s="118">
        <f t="shared" si="3"/>
        <v>1.9690423303706264</v>
      </c>
      <c r="S17" s="116">
        <f t="shared" si="4"/>
        <v>0.26625808296174469</v>
      </c>
    </row>
    <row r="18" spans="1:21">
      <c r="A18" t="s">
        <v>32</v>
      </c>
      <c r="B18">
        <v>348</v>
      </c>
      <c r="C18">
        <v>108</v>
      </c>
      <c r="D18">
        <v>118</v>
      </c>
      <c r="E18">
        <v>10.8</v>
      </c>
      <c r="F18">
        <v>1816</v>
      </c>
      <c r="G18">
        <v>38.299999999999997</v>
      </c>
      <c r="H18">
        <v>39.700000000000003</v>
      </c>
      <c r="I18">
        <v>5.0999999999999996</v>
      </c>
      <c r="J18">
        <v>7000</v>
      </c>
      <c r="K18">
        <v>5.9</v>
      </c>
      <c r="L18">
        <v>2488</v>
      </c>
      <c r="M18" s="120">
        <f t="shared" si="0"/>
        <v>2483.9</v>
      </c>
      <c r="N18" s="120">
        <f t="shared" si="1"/>
        <v>4.0999999999999091</v>
      </c>
      <c r="O18" s="118">
        <f t="shared" si="5"/>
        <v>3.2222222222222223</v>
      </c>
      <c r="P18" s="118">
        <f t="shared" si="6"/>
        <v>2.9491525423728815</v>
      </c>
      <c r="Q18" s="118">
        <f t="shared" si="2"/>
        <v>31.66209165019955</v>
      </c>
      <c r="R18" s="118">
        <f t="shared" si="3"/>
        <v>31.765169071321033</v>
      </c>
      <c r="S18" s="116">
        <f t="shared" si="4"/>
        <v>0.10307742112148333</v>
      </c>
    </row>
    <row r="19" spans="1:21">
      <c r="A19" t="s">
        <v>71</v>
      </c>
      <c r="B19">
        <v>113.4</v>
      </c>
      <c r="C19">
        <v>69.400000000000006</v>
      </c>
      <c r="D19">
        <v>68.3</v>
      </c>
      <c r="E19">
        <v>11.1</v>
      </c>
      <c r="F19">
        <v>854</v>
      </c>
      <c r="H19">
        <v>2</v>
      </c>
      <c r="M19" s="120">
        <f t="shared" si="0"/>
        <v>1118.2</v>
      </c>
      <c r="N19" s="120">
        <f t="shared" si="1"/>
        <v>1118.2</v>
      </c>
      <c r="O19" s="118">
        <f t="shared" si="5"/>
        <v>1.6340057636887608</v>
      </c>
      <c r="P19" s="118">
        <f t="shared" si="6"/>
        <v>1.6603221083455346</v>
      </c>
      <c r="Q19" s="118">
        <f t="shared" si="2"/>
        <v>14.624483005453172</v>
      </c>
      <c r="R19" s="118">
        <f t="shared" si="3"/>
        <v>14.054122783635785</v>
      </c>
      <c r="S19" s="116">
        <f t="shared" si="4"/>
        <v>0.57036022181738666</v>
      </c>
    </row>
    <row r="20" spans="1:21">
      <c r="A20" t="s">
        <v>107</v>
      </c>
      <c r="B20">
        <v>190</v>
      </c>
      <c r="C20">
        <v>34</v>
      </c>
      <c r="D20">
        <v>197</v>
      </c>
      <c r="E20">
        <v>21.9</v>
      </c>
      <c r="F20">
        <v>1098</v>
      </c>
      <c r="G20">
        <v>37</v>
      </c>
      <c r="H20">
        <v>109</v>
      </c>
      <c r="M20" s="120">
        <f t="shared" si="0"/>
        <v>1686.9</v>
      </c>
      <c r="N20" s="120">
        <f t="shared" si="1"/>
        <v>1686.9</v>
      </c>
      <c r="O20" s="118">
        <f t="shared" si="5"/>
        <v>5.5882352941176467</v>
      </c>
      <c r="P20" s="118">
        <f t="shared" si="6"/>
        <v>0.96446700507614214</v>
      </c>
      <c r="Q20" s="118">
        <f t="shared" si="2"/>
        <v>21.408363260070573</v>
      </c>
      <c r="R20" s="118">
        <f t="shared" si="3"/>
        <v>21.842154700891989</v>
      </c>
      <c r="S20" s="116">
        <f t="shared" si="4"/>
        <v>0.43379144082141607</v>
      </c>
    </row>
    <row r="21" spans="1:21">
      <c r="A21" t="s">
        <v>122</v>
      </c>
      <c r="B21">
        <v>106</v>
      </c>
      <c r="C21">
        <v>19</v>
      </c>
      <c r="D21">
        <v>7</v>
      </c>
      <c r="E21">
        <v>1</v>
      </c>
      <c r="F21">
        <v>392</v>
      </c>
      <c r="G21">
        <v>13</v>
      </c>
      <c r="H21">
        <v>8</v>
      </c>
      <c r="I21">
        <v>16</v>
      </c>
      <c r="L21">
        <v>581</v>
      </c>
      <c r="M21" s="120">
        <f t="shared" si="0"/>
        <v>562</v>
      </c>
      <c r="N21" s="120">
        <f t="shared" si="1"/>
        <v>19</v>
      </c>
      <c r="O21" s="118">
        <f t="shared" si="5"/>
        <v>5.5789473684210522</v>
      </c>
      <c r="P21" s="118">
        <f t="shared" si="6"/>
        <v>15.142857142857142</v>
      </c>
      <c r="Q21" s="118">
        <f t="shared" si="2"/>
        <v>7.1832063864139686</v>
      </c>
      <c r="R21" s="118">
        <f t="shared" si="3"/>
        <v>7.1795540326906515</v>
      </c>
      <c r="S21" s="116">
        <f t="shared" si="4"/>
        <v>3.65235372331707E-3</v>
      </c>
    </row>
    <row r="22" spans="1:21">
      <c r="A22" t="s">
        <v>119</v>
      </c>
      <c r="B22">
        <v>40.799999999999997</v>
      </c>
      <c r="C22">
        <v>13.3</v>
      </c>
      <c r="D22">
        <v>770.4</v>
      </c>
      <c r="E22">
        <v>5.4</v>
      </c>
      <c r="F22">
        <v>2123</v>
      </c>
      <c r="G22">
        <v>5.35</v>
      </c>
      <c r="H22">
        <v>97.4</v>
      </c>
      <c r="I22">
        <v>0.1</v>
      </c>
      <c r="K22">
        <v>6.2</v>
      </c>
      <c r="L22">
        <v>4626</v>
      </c>
      <c r="M22" s="120">
        <f t="shared" si="0"/>
        <v>3055.75</v>
      </c>
      <c r="N22" s="120">
        <f t="shared" si="1"/>
        <v>1570.25</v>
      </c>
      <c r="Q22" s="118">
        <f t="shared" si="2"/>
        <v>36.778791074571863</v>
      </c>
      <c r="R22" s="118">
        <f t="shared" si="3"/>
        <v>37.658107391556626</v>
      </c>
      <c r="S22" s="116">
        <f t="shared" si="4"/>
        <v>0.87931631698476309</v>
      </c>
    </row>
    <row r="23" spans="1:21">
      <c r="A23" t="s">
        <v>146</v>
      </c>
      <c r="B23">
        <v>90</v>
      </c>
      <c r="C23">
        <v>4</v>
      </c>
      <c r="D23">
        <v>24</v>
      </c>
      <c r="F23">
        <v>123</v>
      </c>
      <c r="G23">
        <v>58</v>
      </c>
      <c r="H23">
        <v>18</v>
      </c>
      <c r="I23">
        <v>3</v>
      </c>
      <c r="M23" s="120">
        <f t="shared" si="0"/>
        <v>320</v>
      </c>
      <c r="N23" s="120">
        <f t="shared" si="1"/>
        <v>320</v>
      </c>
      <c r="O23" s="118">
        <f>B23/C23</f>
        <v>22.5</v>
      </c>
      <c r="P23" s="118">
        <f>B23/D23</f>
        <v>3.75</v>
      </c>
      <c r="Q23" s="118">
        <f t="shared" si="2"/>
        <v>5.8643246029387415</v>
      </c>
      <c r="R23" s="118">
        <f t="shared" si="3"/>
        <v>3.77978213691107</v>
      </c>
      <c r="S23" s="116">
        <f t="shared" si="4"/>
        <v>2.0845424660276715</v>
      </c>
    </row>
    <row r="24" spans="1:21">
      <c r="A24" t="s">
        <v>104</v>
      </c>
      <c r="B24">
        <v>68</v>
      </c>
      <c r="C24">
        <v>8</v>
      </c>
      <c r="D24">
        <v>2.8</v>
      </c>
      <c r="E24">
        <v>1</v>
      </c>
      <c r="F24">
        <v>238</v>
      </c>
      <c r="G24">
        <v>9.7200000000000006</v>
      </c>
      <c r="H24">
        <v>0</v>
      </c>
      <c r="I24">
        <v>0</v>
      </c>
      <c r="J24" t="s">
        <v>103</v>
      </c>
      <c r="K24">
        <v>7.8</v>
      </c>
      <c r="L24">
        <v>230</v>
      </c>
      <c r="M24" s="120">
        <f t="shared" si="0"/>
        <v>327.52000000000004</v>
      </c>
      <c r="N24" s="120">
        <f t="shared" si="1"/>
        <v>97.520000000000039</v>
      </c>
      <c r="O24" s="118">
        <f>B24/C24</f>
        <v>8.5</v>
      </c>
      <c r="P24" s="118">
        <f>B24/D24</f>
        <v>24.285714285714288</v>
      </c>
      <c r="Q24" s="118">
        <f t="shared" si="2"/>
        <v>4.1990525038576045</v>
      </c>
      <c r="R24" s="118">
        <f t="shared" si="3"/>
        <v>4.1033733526445983</v>
      </c>
      <c r="S24" s="116">
        <f t="shared" si="4"/>
        <v>9.5679151213006186E-2</v>
      </c>
    </row>
    <row r="25" spans="1:21">
      <c r="A25" t="s">
        <v>147</v>
      </c>
      <c r="B25">
        <v>80</v>
      </c>
      <c r="C25">
        <v>19</v>
      </c>
      <c r="D25">
        <v>1</v>
      </c>
      <c r="F25">
        <v>164</v>
      </c>
      <c r="G25">
        <v>5</v>
      </c>
      <c r="H25">
        <v>1</v>
      </c>
      <c r="I25">
        <v>3</v>
      </c>
      <c r="M25" s="120">
        <f t="shared" si="0"/>
        <v>273</v>
      </c>
      <c r="N25" s="120">
        <f t="shared" si="1"/>
        <v>273</v>
      </c>
      <c r="O25" s="118">
        <f>B25/C25</f>
        <v>4.2105263157894735</v>
      </c>
      <c r="P25" s="118">
        <f>B25/D25</f>
        <v>80</v>
      </c>
      <c r="Q25" s="118">
        <f t="shared" si="2"/>
        <v>5.5991766608376041</v>
      </c>
      <c r="R25" s="118">
        <f t="shared" si="3"/>
        <v>2.8687774634479286</v>
      </c>
      <c r="S25" s="116">
        <f t="shared" si="4"/>
        <v>2.7303991973896755</v>
      </c>
    </row>
    <row r="26" spans="1:21">
      <c r="A26" t="s">
        <v>123</v>
      </c>
      <c r="B26">
        <v>100</v>
      </c>
      <c r="C26">
        <v>27</v>
      </c>
      <c r="D26">
        <v>90</v>
      </c>
      <c r="E26">
        <v>6</v>
      </c>
      <c r="F26">
        <v>570</v>
      </c>
      <c r="G26">
        <v>6</v>
      </c>
      <c r="H26">
        <v>60</v>
      </c>
      <c r="M26" s="120">
        <f t="shared" si="0"/>
        <v>859</v>
      </c>
      <c r="N26" s="120">
        <f t="shared" si="1"/>
        <v>859</v>
      </c>
      <c r="Q26" s="118">
        <f t="shared" si="2"/>
        <v>11.280240121019173</v>
      </c>
      <c r="R26" s="118">
        <f t="shared" si="3"/>
        <v>11.160177306334514</v>
      </c>
      <c r="S26" s="116">
        <f t="shared" si="4"/>
        <v>0.12006281468465829</v>
      </c>
    </row>
    <row r="27" spans="1:21">
      <c r="A27" t="s">
        <v>20</v>
      </c>
      <c r="B27">
        <v>147.30000000000001</v>
      </c>
      <c r="C27">
        <v>3.4</v>
      </c>
      <c r="D27">
        <v>9</v>
      </c>
      <c r="E27">
        <v>0.6</v>
      </c>
      <c r="F27">
        <v>390</v>
      </c>
      <c r="G27">
        <v>33</v>
      </c>
      <c r="H27">
        <v>21.5</v>
      </c>
      <c r="I27">
        <v>18</v>
      </c>
      <c r="K27">
        <v>5.46</v>
      </c>
      <c r="L27">
        <v>475</v>
      </c>
      <c r="M27" s="120">
        <f t="shared" si="0"/>
        <v>622.79999999999995</v>
      </c>
      <c r="N27" s="120">
        <f t="shared" si="1"/>
        <v>147.79999999999995</v>
      </c>
      <c r="O27" s="118">
        <f t="shared" ref="O27:O47" si="7">B27/C27</f>
        <v>43.32352941176471</v>
      </c>
      <c r="P27" s="118">
        <f t="shared" ref="P27:P47" si="8">B27/D27</f>
        <v>16.366666666666667</v>
      </c>
      <c r="Q27" s="118">
        <f t="shared" si="2"/>
        <v>8.0372646320618895</v>
      </c>
      <c r="R27" s="118">
        <f t="shared" si="3"/>
        <v>7.9762524509874462</v>
      </c>
      <c r="S27" s="116">
        <f t="shared" si="4"/>
        <v>6.1012181074443284E-2</v>
      </c>
    </row>
    <row r="28" spans="1:21">
      <c r="A28" t="s">
        <v>148</v>
      </c>
      <c r="B28">
        <v>7</v>
      </c>
      <c r="C28">
        <v>1</v>
      </c>
      <c r="D28">
        <v>3</v>
      </c>
      <c r="F28">
        <v>9</v>
      </c>
      <c r="G28">
        <v>6</v>
      </c>
      <c r="H28">
        <v>5</v>
      </c>
      <c r="M28" s="120">
        <f t="shared" si="0"/>
        <v>31</v>
      </c>
      <c r="N28" s="120">
        <f t="shared" si="1"/>
        <v>31</v>
      </c>
      <c r="O28" s="118">
        <f t="shared" si="7"/>
        <v>7</v>
      </c>
      <c r="P28" s="118">
        <f t="shared" si="8"/>
        <v>2.3333333333333335</v>
      </c>
      <c r="Q28" s="118">
        <f t="shared" si="2"/>
        <v>0.56209794148120307</v>
      </c>
      <c r="R28" s="118">
        <f t="shared" si="3"/>
        <v>0.41348244787643251</v>
      </c>
      <c r="S28" s="116">
        <f t="shared" si="4"/>
        <v>0.14861549360477055</v>
      </c>
    </row>
    <row r="29" spans="1:21">
      <c r="A29" t="s">
        <v>149</v>
      </c>
      <c r="B29">
        <v>24</v>
      </c>
      <c r="C29">
        <v>7.3</v>
      </c>
      <c r="D29">
        <v>25.6</v>
      </c>
      <c r="E29">
        <v>5.6</v>
      </c>
      <c r="F29">
        <v>151</v>
      </c>
      <c r="G29">
        <v>28.5</v>
      </c>
      <c r="H29">
        <v>1.8</v>
      </c>
      <c r="M29" s="120">
        <f t="shared" si="0"/>
        <v>243.8</v>
      </c>
      <c r="N29" s="120">
        <f t="shared" si="1"/>
        <v>243.8</v>
      </c>
      <c r="O29" s="118">
        <f t="shared" si="7"/>
        <v>3.2876712328767126</v>
      </c>
      <c r="P29" s="118">
        <f t="shared" si="8"/>
        <v>0.9375</v>
      </c>
      <c r="Q29" s="118">
        <f t="shared" si="2"/>
        <v>3.0551214521108707</v>
      </c>
      <c r="R29" s="118">
        <f t="shared" si="3"/>
        <v>3.1191589762071779</v>
      </c>
      <c r="S29" s="116">
        <f t="shared" si="4"/>
        <v>6.4037524096307141E-2</v>
      </c>
    </row>
    <row r="30" spans="1:21">
      <c r="A30" t="s">
        <v>108</v>
      </c>
      <c r="B30">
        <v>206</v>
      </c>
      <c r="C30">
        <v>100</v>
      </c>
      <c r="D30">
        <v>72.7</v>
      </c>
      <c r="E30">
        <v>4.4000000000000004</v>
      </c>
      <c r="F30">
        <v>1095</v>
      </c>
      <c r="G30">
        <v>19</v>
      </c>
      <c r="H30">
        <v>112</v>
      </c>
      <c r="M30" s="120">
        <f t="shared" si="0"/>
        <v>1609.1</v>
      </c>
      <c r="N30" s="120">
        <f t="shared" si="1"/>
        <v>1609.1</v>
      </c>
      <c r="O30" s="118">
        <f t="shared" si="7"/>
        <v>2.06</v>
      </c>
      <c r="P30" s="118">
        <f t="shared" si="8"/>
        <v>2.8335625859697386</v>
      </c>
      <c r="Q30" s="118">
        <f t="shared" si="2"/>
        <v>21.783495783853965</v>
      </c>
      <c r="R30" s="118">
        <f t="shared" si="3"/>
        <v>21.502842896790185</v>
      </c>
      <c r="S30" s="116">
        <f t="shared" si="4"/>
        <v>0.28065288706378055</v>
      </c>
    </row>
    <row r="31" spans="1:21">
      <c r="A31" t="s">
        <v>165</v>
      </c>
      <c r="B31">
        <v>78.8</v>
      </c>
      <c r="C31">
        <v>9</v>
      </c>
      <c r="D31">
        <v>1744</v>
      </c>
      <c r="E31">
        <v>115</v>
      </c>
      <c r="F31">
        <v>4263</v>
      </c>
      <c r="G31">
        <v>182</v>
      </c>
      <c r="H31">
        <v>329</v>
      </c>
      <c r="K31">
        <v>6.6</v>
      </c>
      <c r="L31">
        <v>4774</v>
      </c>
      <c r="M31" s="120">
        <f t="shared" si="0"/>
        <v>6720.8</v>
      </c>
      <c r="N31" s="120">
        <f t="shared" si="1"/>
        <v>1946.8000000000002</v>
      </c>
      <c r="O31" s="118">
        <f t="shared" si="7"/>
        <v>8.7555555555555546</v>
      </c>
      <c r="P31" s="118">
        <f t="shared" si="8"/>
        <v>4.5183486238532106E-2</v>
      </c>
      <c r="Q31" s="118">
        <f t="shared" si="2"/>
        <v>83.473316391595304</v>
      </c>
      <c r="R31" s="118">
        <f t="shared" si="3"/>
        <v>82.943766546841218</v>
      </c>
      <c r="S31" s="116">
        <f t="shared" si="4"/>
        <v>0.52954984475408651</v>
      </c>
      <c r="U31" t="s">
        <v>166</v>
      </c>
    </row>
    <row r="32" spans="1:21">
      <c r="A32" t="s">
        <v>67</v>
      </c>
      <c r="B32">
        <v>99</v>
      </c>
      <c r="C32">
        <v>5.7</v>
      </c>
      <c r="D32">
        <v>18.5</v>
      </c>
      <c r="E32">
        <v>1</v>
      </c>
      <c r="F32">
        <v>211</v>
      </c>
      <c r="G32">
        <v>69</v>
      </c>
      <c r="H32">
        <v>42.4</v>
      </c>
      <c r="M32" s="120">
        <f t="shared" si="0"/>
        <v>446.59999999999997</v>
      </c>
      <c r="N32" s="120">
        <f t="shared" si="1"/>
        <v>446.59999999999997</v>
      </c>
      <c r="O32" s="118">
        <f t="shared" si="7"/>
        <v>17.368421052631579</v>
      </c>
      <c r="P32" s="118">
        <f t="shared" si="8"/>
        <v>5.3513513513513518</v>
      </c>
      <c r="Q32" s="118">
        <f t="shared" si="2"/>
        <v>6.2396800285636189</v>
      </c>
      <c r="R32" s="118">
        <f t="shared" si="3"/>
        <v>6.0911023339321151</v>
      </c>
      <c r="S32" s="116">
        <f t="shared" si="4"/>
        <v>0.14857769463150383</v>
      </c>
    </row>
    <row r="33" spans="1:21">
      <c r="A33" t="s">
        <v>102</v>
      </c>
      <c r="B33">
        <v>46</v>
      </c>
      <c r="C33">
        <v>30</v>
      </c>
      <c r="D33">
        <v>6.8</v>
      </c>
      <c r="E33">
        <v>1.1000000000000001</v>
      </c>
      <c r="F33">
        <v>293</v>
      </c>
      <c r="G33">
        <v>4.9000000000000004</v>
      </c>
      <c r="H33">
        <v>2.8</v>
      </c>
      <c r="I33">
        <v>6.8</v>
      </c>
      <c r="J33" t="s">
        <v>103</v>
      </c>
      <c r="K33">
        <v>7.68</v>
      </c>
      <c r="L33">
        <v>250</v>
      </c>
      <c r="M33" s="120">
        <f t="shared" si="0"/>
        <v>391.4</v>
      </c>
      <c r="N33" s="120">
        <f t="shared" si="1"/>
        <v>141.39999999999998</v>
      </c>
      <c r="O33" s="118">
        <f t="shared" si="7"/>
        <v>1.5333333333333334</v>
      </c>
      <c r="P33" s="118">
        <f t="shared" si="8"/>
        <v>6.7647058823529411</v>
      </c>
      <c r="Q33" s="118">
        <f t="shared" si="2"/>
        <v>5.0880667887583257</v>
      </c>
      <c r="R33" s="118">
        <f t="shared" si="3"/>
        <v>5.0931640262600171</v>
      </c>
      <c r="S33" s="116">
        <f t="shared" si="4"/>
        <v>5.0972375016913318E-3</v>
      </c>
    </row>
    <row r="34" spans="1:21">
      <c r="A34" t="s">
        <v>125</v>
      </c>
      <c r="B34">
        <v>55</v>
      </c>
      <c r="C34">
        <v>9</v>
      </c>
      <c r="D34">
        <v>1138</v>
      </c>
      <c r="E34">
        <v>53.4</v>
      </c>
      <c r="F34">
        <v>2196</v>
      </c>
      <c r="G34">
        <v>54</v>
      </c>
      <c r="H34">
        <v>596</v>
      </c>
      <c r="I34">
        <v>0</v>
      </c>
      <c r="J34" t="s">
        <v>126</v>
      </c>
      <c r="L34">
        <v>4090</v>
      </c>
      <c r="M34" s="120">
        <f t="shared" si="0"/>
        <v>4101.3999999999996</v>
      </c>
      <c r="N34" s="120">
        <f t="shared" si="1"/>
        <v>11.399999999999636</v>
      </c>
      <c r="O34" s="118">
        <f t="shared" si="7"/>
        <v>6.1111111111111107</v>
      </c>
      <c r="P34" s="118">
        <f t="shared" si="8"/>
        <v>4.8330404217926184E-2</v>
      </c>
      <c r="Q34" s="118">
        <f t="shared" si="2"/>
        <v>54.350817569050662</v>
      </c>
      <c r="R34" s="118">
        <f t="shared" si="3"/>
        <v>53.93080848983044</v>
      </c>
      <c r="S34" s="116">
        <f t="shared" si="4"/>
        <v>0.42000907922022179</v>
      </c>
      <c r="U34" t="s">
        <v>171</v>
      </c>
    </row>
    <row r="35" spans="1:21">
      <c r="A35" t="s">
        <v>17</v>
      </c>
      <c r="B35">
        <v>208.08</v>
      </c>
      <c r="C35">
        <v>56.9</v>
      </c>
      <c r="D35">
        <v>44.6</v>
      </c>
      <c r="E35">
        <v>3.7</v>
      </c>
      <c r="F35">
        <v>220.6</v>
      </c>
      <c r="G35">
        <v>549.20000000000005</v>
      </c>
      <c r="H35">
        <v>74.3</v>
      </c>
      <c r="I35">
        <v>1.5</v>
      </c>
      <c r="K35">
        <v>7.7</v>
      </c>
      <c r="L35">
        <v>1109</v>
      </c>
      <c r="M35" s="120">
        <f t="shared" si="0"/>
        <v>1158.8799999999999</v>
      </c>
      <c r="N35" s="120">
        <f t="shared" si="1"/>
        <v>49.879999999999882</v>
      </c>
      <c r="O35" s="118">
        <f t="shared" si="7"/>
        <v>3.6569420035149389</v>
      </c>
      <c r="P35" s="118">
        <f t="shared" si="8"/>
        <v>4.6654708520179371</v>
      </c>
      <c r="Q35" s="118">
        <f t="shared" si="2"/>
        <v>17.100523746288353</v>
      </c>
      <c r="R35" s="118">
        <f t="shared" si="3"/>
        <v>17.170422109489888</v>
      </c>
      <c r="S35" s="116">
        <f t="shared" si="4"/>
        <v>6.9898363201534863E-2</v>
      </c>
      <c r="U35" t="s">
        <v>164</v>
      </c>
    </row>
    <row r="36" spans="1:21">
      <c r="A36" t="s">
        <v>192</v>
      </c>
      <c r="B36">
        <v>68</v>
      </c>
      <c r="C36">
        <v>0</v>
      </c>
      <c r="D36">
        <v>10</v>
      </c>
      <c r="E36">
        <v>0</v>
      </c>
      <c r="F36">
        <v>233</v>
      </c>
      <c r="H36">
        <v>0</v>
      </c>
      <c r="I36">
        <v>0</v>
      </c>
      <c r="K36">
        <v>7</v>
      </c>
      <c r="M36" s="120">
        <f t="shared" si="0"/>
        <v>311</v>
      </c>
      <c r="N36" s="120">
        <f t="shared" si="1"/>
        <v>311</v>
      </c>
      <c r="O36" s="118" t="e">
        <f t="shared" si="7"/>
        <v>#DIV/0!</v>
      </c>
      <c r="P36" s="118">
        <f t="shared" si="8"/>
        <v>6.8</v>
      </c>
      <c r="Q36" s="118">
        <f t="shared" si="2"/>
        <v>3.8283546301762454</v>
      </c>
      <c r="R36" s="118">
        <f t="shared" si="3"/>
        <v>3.8190460580232748</v>
      </c>
      <c r="S36" s="116">
        <f t="shared" si="4"/>
        <v>9.3085721529706511E-3</v>
      </c>
      <c r="T36" t="s">
        <v>197</v>
      </c>
      <c r="U36" t="s">
        <v>193</v>
      </c>
    </row>
    <row r="37" spans="1:21">
      <c r="A37" t="s">
        <v>86</v>
      </c>
      <c r="B37">
        <v>110</v>
      </c>
      <c r="C37">
        <v>38</v>
      </c>
      <c r="D37">
        <v>299</v>
      </c>
      <c r="E37">
        <v>13</v>
      </c>
      <c r="F37">
        <v>850</v>
      </c>
      <c r="G37">
        <v>20</v>
      </c>
      <c r="H37">
        <v>269</v>
      </c>
      <c r="J37">
        <v>8200</v>
      </c>
      <c r="M37" s="120">
        <f t="shared" si="0"/>
        <v>1599</v>
      </c>
      <c r="N37" s="120">
        <f t="shared" si="1"/>
        <v>1599</v>
      </c>
      <c r="O37" s="118">
        <f t="shared" si="7"/>
        <v>2.8947368421052633</v>
      </c>
      <c r="P37" s="118">
        <f t="shared" si="8"/>
        <v>0.36789297658862874</v>
      </c>
      <c r="Q37" s="118">
        <f t="shared" si="2"/>
        <v>21.954376946983412</v>
      </c>
      <c r="R37" s="118">
        <f t="shared" si="3"/>
        <v>21.936701011638924</v>
      </c>
      <c r="S37" s="116">
        <f t="shared" si="4"/>
        <v>1.7675935344488636E-2</v>
      </c>
    </row>
    <row r="38" spans="1:21">
      <c r="A38" t="s">
        <v>172</v>
      </c>
      <c r="B38">
        <v>11.1</v>
      </c>
      <c r="C38">
        <v>2.2000000000000002</v>
      </c>
      <c r="D38">
        <v>28</v>
      </c>
      <c r="E38">
        <v>10.5</v>
      </c>
      <c r="F38">
        <v>36.5</v>
      </c>
      <c r="G38">
        <v>8.8000000000000007</v>
      </c>
      <c r="H38">
        <v>55.1</v>
      </c>
      <c r="L38">
        <v>152.5</v>
      </c>
      <c r="M38" s="120">
        <f t="shared" si="0"/>
        <v>152.19999999999999</v>
      </c>
      <c r="N38" s="120">
        <f t="shared" si="1"/>
        <v>0.30000000000001137</v>
      </c>
      <c r="O38" s="118">
        <f t="shared" si="7"/>
        <v>5.045454545454545</v>
      </c>
      <c r="P38" s="118">
        <f t="shared" si="8"/>
        <v>0.39642857142857141</v>
      </c>
      <c r="Q38" s="118">
        <f t="shared" si="2"/>
        <v>2.2214293371100706</v>
      </c>
      <c r="R38" s="118">
        <f t="shared" si="3"/>
        <v>2.3357832350431917</v>
      </c>
      <c r="S38" s="116">
        <f t="shared" si="4"/>
        <v>0.11435389793312112</v>
      </c>
      <c r="T38" t="s">
        <v>175</v>
      </c>
      <c r="U38" t="s">
        <v>176</v>
      </c>
    </row>
    <row r="39" spans="1:21">
      <c r="A39" t="s">
        <v>173</v>
      </c>
      <c r="B39">
        <v>4.3</v>
      </c>
      <c r="C39">
        <v>6.8</v>
      </c>
      <c r="D39">
        <v>12.7</v>
      </c>
      <c r="E39">
        <v>4.3</v>
      </c>
      <c r="F39">
        <v>10.5</v>
      </c>
      <c r="G39">
        <v>3.3</v>
      </c>
      <c r="H39">
        <v>23.7</v>
      </c>
      <c r="L39">
        <v>60.3</v>
      </c>
      <c r="M39" s="120">
        <f t="shared" si="0"/>
        <v>65.599999999999994</v>
      </c>
      <c r="N39" s="120">
        <f t="shared" si="1"/>
        <v>5.2999999999999972</v>
      </c>
      <c r="O39" s="118">
        <f t="shared" si="7"/>
        <v>0.63235294117647056</v>
      </c>
      <c r="P39" s="118">
        <f t="shared" si="8"/>
        <v>0.33858267716535434</v>
      </c>
      <c r="Q39" s="118">
        <f t="shared" si="2"/>
        <v>1.4365313561470126</v>
      </c>
      <c r="R39" s="118">
        <f t="shared" si="3"/>
        <v>0.90935724168134013</v>
      </c>
      <c r="S39" s="116">
        <f t="shared" si="4"/>
        <v>0.52717411446567242</v>
      </c>
      <c r="T39" t="s">
        <v>174</v>
      </c>
      <c r="U39" t="s">
        <v>176</v>
      </c>
    </row>
    <row r="40" spans="1:21">
      <c r="A40" t="s">
        <v>69</v>
      </c>
      <c r="B40">
        <v>64.92</v>
      </c>
      <c r="C40">
        <v>47.62</v>
      </c>
      <c r="D40">
        <v>15</v>
      </c>
      <c r="E40">
        <v>0.78</v>
      </c>
      <c r="F40">
        <v>429</v>
      </c>
      <c r="G40">
        <v>34</v>
      </c>
      <c r="H40">
        <v>9</v>
      </c>
      <c r="I40">
        <v>0.88</v>
      </c>
      <c r="K40">
        <v>5.5</v>
      </c>
      <c r="L40">
        <v>4578</v>
      </c>
      <c r="M40" s="120">
        <f t="shared" si="0"/>
        <v>601.19999999999993</v>
      </c>
      <c r="N40" s="120">
        <f t="shared" si="1"/>
        <v>3976.8</v>
      </c>
      <c r="O40" s="118">
        <f t="shared" si="7"/>
        <v>1.3632927341453172</v>
      </c>
      <c r="P40" s="118">
        <f t="shared" si="8"/>
        <v>4.3280000000000003</v>
      </c>
      <c r="Q40" s="118">
        <f t="shared" si="2"/>
        <v>7.8306253595147561</v>
      </c>
      <c r="R40" s="118">
        <f t="shared" si="3"/>
        <v>8.0075961660907264</v>
      </c>
      <c r="S40" s="116">
        <f t="shared" si="4"/>
        <v>0.17697080657597031</v>
      </c>
    </row>
    <row r="41" spans="1:21">
      <c r="A41" t="s">
        <v>191</v>
      </c>
      <c r="B41">
        <v>100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O41" s="118" t="e">
        <f t="shared" si="7"/>
        <v>#DIV/0!</v>
      </c>
      <c r="P41" s="118" t="e">
        <f t="shared" si="8"/>
        <v>#DIV/0!</v>
      </c>
      <c r="Q41" s="118">
        <f t="shared" si="2"/>
        <v>4.9902689754977789</v>
      </c>
      <c r="R41" s="118">
        <f t="shared" si="3"/>
        <v>0</v>
      </c>
      <c r="S41" s="116">
        <f t="shared" si="4"/>
        <v>4.9902689754977789</v>
      </c>
    </row>
    <row r="42" spans="1:21">
      <c r="A42" t="s">
        <v>181</v>
      </c>
      <c r="B42">
        <v>29</v>
      </c>
      <c r="C42">
        <v>9</v>
      </c>
      <c r="D42">
        <v>35</v>
      </c>
      <c r="F42">
        <v>115</v>
      </c>
      <c r="G42">
        <v>40</v>
      </c>
      <c r="H42">
        <v>35</v>
      </c>
      <c r="M42" s="120">
        <f t="shared" ref="M42:M47" si="9">SUM(B42:I42)</f>
        <v>263</v>
      </c>
      <c r="O42" s="118">
        <f t="shared" si="7"/>
        <v>3.2222222222222223</v>
      </c>
      <c r="P42" s="118">
        <f t="shared" si="8"/>
        <v>0.82857142857142863</v>
      </c>
      <c r="Q42" s="118">
        <f t="shared" si="2"/>
        <v>3.7101674031317873</v>
      </c>
      <c r="R42" s="118">
        <f t="shared" si="3"/>
        <v>3.7050557857885091</v>
      </c>
      <c r="S42" s="116">
        <f t="shared" si="4"/>
        <v>5.1116173432781409E-3</v>
      </c>
      <c r="T42" t="s">
        <v>182</v>
      </c>
    </row>
    <row r="43" spans="1:21">
      <c r="A43" t="s">
        <v>66</v>
      </c>
      <c r="B43">
        <v>22.5</v>
      </c>
      <c r="C43">
        <v>11.5</v>
      </c>
      <c r="D43">
        <v>22</v>
      </c>
      <c r="E43">
        <v>1</v>
      </c>
      <c r="F43">
        <v>116</v>
      </c>
      <c r="G43">
        <v>3.7</v>
      </c>
      <c r="H43">
        <v>14</v>
      </c>
      <c r="K43">
        <v>6.8</v>
      </c>
      <c r="L43">
        <v>165</v>
      </c>
      <c r="M43" s="120">
        <f t="shared" si="9"/>
        <v>190.7</v>
      </c>
      <c r="N43" s="120">
        <f>ABS(L43-M43)</f>
        <v>25.699999999999989</v>
      </c>
      <c r="O43" s="118">
        <f t="shared" si="7"/>
        <v>1.9565217391304348</v>
      </c>
      <c r="P43" s="118">
        <f t="shared" si="8"/>
        <v>1.0227272727272727</v>
      </c>
      <c r="Q43" s="118">
        <f t="shared" si="2"/>
        <v>3.0516324185422179</v>
      </c>
      <c r="R43" s="118">
        <f t="shared" si="3"/>
        <v>2.3732852634986354</v>
      </c>
      <c r="S43" s="116">
        <f t="shared" si="4"/>
        <v>0.67834715504358245</v>
      </c>
    </row>
    <row r="44" spans="1:21">
      <c r="A44" t="s">
        <v>19</v>
      </c>
      <c r="B44">
        <v>202</v>
      </c>
      <c r="C44">
        <v>36</v>
      </c>
      <c r="D44">
        <v>3.8</v>
      </c>
      <c r="F44">
        <v>402</v>
      </c>
      <c r="G44">
        <v>306</v>
      </c>
      <c r="H44">
        <v>0</v>
      </c>
      <c r="K44">
        <v>7.5</v>
      </c>
      <c r="L44">
        <v>841</v>
      </c>
      <c r="M44" s="120">
        <f t="shared" si="9"/>
        <v>949.8</v>
      </c>
      <c r="N44" s="120">
        <f>ABS(L44-M44)</f>
        <v>108.79999999999995</v>
      </c>
      <c r="O44" s="118">
        <f t="shared" si="7"/>
        <v>5.6111111111111107</v>
      </c>
      <c r="P44" s="118">
        <f t="shared" si="8"/>
        <v>53.15789473684211</v>
      </c>
      <c r="Q44" s="118">
        <f t="shared" si="2"/>
        <v>13.207986011925009</v>
      </c>
      <c r="R44" s="118">
        <f t="shared" si="3"/>
        <v>12.960101870440138</v>
      </c>
      <c r="S44" s="116">
        <f t="shared" si="4"/>
        <v>0.24788414148487092</v>
      </c>
    </row>
    <row r="45" spans="1:21">
      <c r="A45" t="s">
        <v>85</v>
      </c>
      <c r="B45">
        <v>11.5</v>
      </c>
      <c r="C45">
        <v>8</v>
      </c>
      <c r="D45">
        <v>11.6</v>
      </c>
      <c r="E45">
        <v>6.2</v>
      </c>
      <c r="F45">
        <v>71</v>
      </c>
      <c r="G45">
        <v>6.9</v>
      </c>
      <c r="H45">
        <v>13.5</v>
      </c>
      <c r="I45">
        <v>6.3</v>
      </c>
      <c r="K45">
        <v>7</v>
      </c>
      <c r="L45">
        <v>109</v>
      </c>
      <c r="M45" s="120">
        <f t="shared" si="9"/>
        <v>135.00000000000003</v>
      </c>
      <c r="N45" s="120">
        <f>ABS(L45-M45)</f>
        <v>26.000000000000028</v>
      </c>
      <c r="O45" s="118">
        <f t="shared" si="7"/>
        <v>1.4375</v>
      </c>
      <c r="P45" s="118">
        <f t="shared" si="8"/>
        <v>0.99137931034482762</v>
      </c>
      <c r="Q45" s="118">
        <f t="shared" si="2"/>
        <v>1.8953247827088862</v>
      </c>
      <c r="R45" s="118">
        <f t="shared" si="3"/>
        <v>1.7898266238437224</v>
      </c>
      <c r="S45" s="116">
        <f t="shared" si="4"/>
        <v>0.10549815886516378</v>
      </c>
      <c r="U45" t="s">
        <v>162</v>
      </c>
    </row>
    <row r="46" spans="1:21">
      <c r="A46" t="s">
        <v>64</v>
      </c>
      <c r="B46">
        <v>3.46</v>
      </c>
      <c r="C46">
        <v>0.78</v>
      </c>
      <c r="G46">
        <v>5</v>
      </c>
      <c r="K46">
        <v>6.4</v>
      </c>
      <c r="L46">
        <v>22</v>
      </c>
      <c r="M46" s="120">
        <f t="shared" si="9"/>
        <v>9.24</v>
      </c>
      <c r="N46" s="120">
        <f>ABS(L46-M46)</f>
        <v>12.76</v>
      </c>
      <c r="O46" s="118">
        <f t="shared" si="7"/>
        <v>4.4358974358974361</v>
      </c>
      <c r="P46" s="118" t="e">
        <f t="shared" si="8"/>
        <v>#DIV/0!</v>
      </c>
      <c r="Q46" s="118">
        <f t="shared" si="2"/>
        <v>0.23684763076534804</v>
      </c>
      <c r="R46" s="118">
        <f t="shared" si="3"/>
        <v>0.10410160316468874</v>
      </c>
      <c r="S46" s="116">
        <f t="shared" si="4"/>
        <v>0.13274602760065929</v>
      </c>
    </row>
    <row r="47" spans="1:21">
      <c r="A47" t="s">
        <v>68</v>
      </c>
      <c r="B47">
        <v>12</v>
      </c>
      <c r="C47">
        <v>2.6</v>
      </c>
      <c r="D47">
        <v>1.6</v>
      </c>
      <c r="F47">
        <v>20</v>
      </c>
      <c r="H47">
        <v>30</v>
      </c>
      <c r="K47">
        <v>8.6</v>
      </c>
      <c r="M47" s="120">
        <f t="shared" si="9"/>
        <v>66.2</v>
      </c>
      <c r="N47" s="120">
        <f>ABS(L47-M47)</f>
        <v>66.2</v>
      </c>
      <c r="O47" s="118">
        <f t="shared" si="7"/>
        <v>4.615384615384615</v>
      </c>
      <c r="P47" s="118">
        <f t="shared" si="8"/>
        <v>7.5</v>
      </c>
      <c r="Q47" s="118">
        <f t="shared" si="2"/>
        <v>0.88237550073085735</v>
      </c>
      <c r="R47" s="118">
        <f t="shared" si="3"/>
        <v>1.1740774536024869</v>
      </c>
      <c r="S47" s="116">
        <f t="shared" si="4"/>
        <v>0.29170195287162959</v>
      </c>
      <c r="T47" t="s">
        <v>167</v>
      </c>
      <c r="U47" t="s">
        <v>168</v>
      </c>
    </row>
    <row r="48" spans="1:21">
      <c r="S48" s="116"/>
    </row>
    <row r="49" spans="19:19">
      <c r="S49" s="116"/>
    </row>
    <row r="50" spans="19:19">
      <c r="S50" s="116"/>
    </row>
    <row r="51" spans="19:19">
      <c r="S51" s="116"/>
    </row>
    <row r="52" spans="19:19">
      <c r="S52" s="116"/>
    </row>
    <row r="53" spans="19:19">
      <c r="S53" s="116"/>
    </row>
    <row r="54" spans="19:19">
      <c r="S54" s="116"/>
    </row>
    <row r="55" spans="19:19">
      <c r="S55" s="116"/>
    </row>
    <row r="56" spans="19:19">
      <c r="S56" s="116"/>
    </row>
    <row r="57" spans="19:19">
      <c r="S57" s="116"/>
    </row>
    <row r="58" spans="19:19">
      <c r="S58" s="116"/>
    </row>
    <row r="59" spans="19:19">
      <c r="S59" s="116"/>
    </row>
    <row r="60" spans="19:19">
      <c r="S60" s="116"/>
    </row>
    <row r="61" spans="19:19">
      <c r="S61" s="116"/>
    </row>
    <row r="62" spans="19:19">
      <c r="S62" s="116"/>
    </row>
    <row r="63" spans="19:19">
      <c r="S63" s="116"/>
    </row>
    <row r="64" spans="19:19">
      <c r="S64" s="116"/>
    </row>
    <row r="65" spans="19:19">
      <c r="S65" s="116"/>
    </row>
    <row r="66" spans="19:19">
      <c r="S66" s="116"/>
    </row>
    <row r="67" spans="19:19">
      <c r="S67" s="116"/>
    </row>
    <row r="68" spans="19:19">
      <c r="S68" s="116"/>
    </row>
    <row r="69" spans="19:19">
      <c r="S69" s="116"/>
    </row>
    <row r="70" spans="19:19">
      <c r="S70" s="116"/>
    </row>
    <row r="71" spans="19:19">
      <c r="S71" s="116"/>
    </row>
    <row r="72" spans="19:19">
      <c r="S72" s="116"/>
    </row>
    <row r="73" spans="19:19">
      <c r="S73" s="116"/>
    </row>
    <row r="74" spans="19:19">
      <c r="S74" s="116"/>
    </row>
    <row r="75" spans="19:19">
      <c r="S75" s="116"/>
    </row>
    <row r="76" spans="19:19">
      <c r="S76" s="116"/>
    </row>
    <row r="77" spans="19:19">
      <c r="S77" s="116"/>
    </row>
    <row r="78" spans="19:19">
      <c r="S78" s="116"/>
    </row>
    <row r="79" spans="19:19">
      <c r="S79" s="116"/>
    </row>
    <row r="80" spans="19:19">
      <c r="S80" s="116"/>
    </row>
    <row r="81" spans="19:19">
      <c r="S81" s="116"/>
    </row>
    <row r="82" spans="19:19">
      <c r="S82" s="116"/>
    </row>
    <row r="83" spans="19:19">
      <c r="S83" s="116"/>
    </row>
    <row r="84" spans="19:19">
      <c r="S84" s="116"/>
    </row>
    <row r="85" spans="19:19">
      <c r="S85" s="116"/>
    </row>
    <row r="86" spans="19:19">
      <c r="S86" s="116"/>
    </row>
    <row r="87" spans="19:19">
      <c r="S87" s="116"/>
    </row>
    <row r="88" spans="19:19">
      <c r="S88" s="116"/>
    </row>
    <row r="89" spans="19:19">
      <c r="S89" s="116"/>
    </row>
    <row r="90" spans="19:19">
      <c r="S90" s="116"/>
    </row>
    <row r="91" spans="19:19">
      <c r="S91" s="116"/>
    </row>
    <row r="92" spans="19:19">
      <c r="S92" s="116"/>
    </row>
    <row r="93" spans="19:19">
      <c r="S93" s="116"/>
    </row>
    <row r="94" spans="19:19">
      <c r="S94" s="116"/>
    </row>
    <row r="95" spans="19:19">
      <c r="S95" s="116"/>
    </row>
    <row r="96" spans="19:19">
      <c r="S96" s="116"/>
    </row>
    <row r="97" spans="19:19">
      <c r="S97" s="116"/>
    </row>
    <row r="98" spans="19:19">
      <c r="S98" s="116"/>
    </row>
    <row r="99" spans="19:19">
      <c r="S99" s="116"/>
    </row>
    <row r="100" spans="19:19">
      <c r="S100" s="116"/>
    </row>
  </sheetData>
  <autoFilter ref="A1:U44">
    <sortState ref="A2:U47">
      <sortCondition ref="A1:A44"/>
    </sortState>
  </autoFilter>
  <sortState ref="A2:J9">
    <sortCondition ref="A2:A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56</vt:i4>
      </vt:variant>
    </vt:vector>
  </HeadingPairs>
  <TitlesOfParts>
    <vt:vector size="59" baseType="lpstr">
      <vt:lpstr>simple calculator for printing</vt:lpstr>
      <vt:lpstr>calculator</vt:lpstr>
      <vt:lpstr>mineral waters lookup</vt:lpstr>
      <vt:lpstr>'simple calculator for printing'!bicarbonate_p</vt:lpstr>
      <vt:lpstr>bicarbonate_p</vt:lpstr>
      <vt:lpstr>'simple calculator for printing'!bicarbonate_t</vt:lpstr>
      <vt:lpstr>bicarbonate_t</vt:lpstr>
      <vt:lpstr>'simple calculator for printing'!Ca_p</vt:lpstr>
      <vt:lpstr>Ca_p</vt:lpstr>
      <vt:lpstr>'simple calculator for printing'!Ca_t</vt:lpstr>
      <vt:lpstr>Ca_t</vt:lpstr>
      <vt:lpstr>'simple calculator for printing'!calcium_carbonate</vt:lpstr>
      <vt:lpstr>calcium_carbonate</vt:lpstr>
      <vt:lpstr>calculator!calcium_hydroxide</vt:lpstr>
      <vt:lpstr>'simple calculator for printing'!calcium_hydroxide</vt:lpstr>
      <vt:lpstr>'simple calculator for printing'!calcium_nitrate</vt:lpstr>
      <vt:lpstr>calcium_nitrate</vt:lpstr>
      <vt:lpstr>calculator!calcium_sulfate</vt:lpstr>
      <vt:lpstr>'simple calculator for printing'!calcium_sulfate</vt:lpstr>
      <vt:lpstr>'simple calculator for printing'!chloride_p</vt:lpstr>
      <vt:lpstr>chloride_p</vt:lpstr>
      <vt:lpstr>'simple calculator for printing'!Cl_t</vt:lpstr>
      <vt:lpstr>Cl_t</vt:lpstr>
      <vt:lpstr>'simple calculator for printing'!K_p</vt:lpstr>
      <vt:lpstr>K_p</vt:lpstr>
      <vt:lpstr>'simple calculator for printing'!K_t</vt:lpstr>
      <vt:lpstr>K_t</vt:lpstr>
      <vt:lpstr>'simple calculator for printing'!magnesium_carbonate</vt:lpstr>
      <vt:lpstr>magnesium_carbonate</vt:lpstr>
      <vt:lpstr>'simple calculator for printing'!magnesium_chloride</vt:lpstr>
      <vt:lpstr>magnesium_chloride</vt:lpstr>
      <vt:lpstr>calculator!magnesium_hydroxide</vt:lpstr>
      <vt:lpstr>'simple calculator for printing'!magnesium_hydroxide</vt:lpstr>
      <vt:lpstr>calculator!magnesium_sulfate</vt:lpstr>
      <vt:lpstr>'simple calculator for printing'!magnesium_sulfate</vt:lpstr>
      <vt:lpstr>'simple calculator for printing'!Mg_p</vt:lpstr>
      <vt:lpstr>Mg_p</vt:lpstr>
      <vt:lpstr>'simple calculator for printing'!Mg_t</vt:lpstr>
      <vt:lpstr>Mg_t</vt:lpstr>
      <vt:lpstr>'simple calculator for printing'!Na_p</vt:lpstr>
      <vt:lpstr>Na_p</vt:lpstr>
      <vt:lpstr>'simple calculator for printing'!Na_t</vt:lpstr>
      <vt:lpstr>Na_t</vt:lpstr>
      <vt:lpstr>'simple calculator for printing'!nitrate_p</vt:lpstr>
      <vt:lpstr>nitrate_p</vt:lpstr>
      <vt:lpstr>'simple calculator for printing'!nitrate_t</vt:lpstr>
      <vt:lpstr>nitrate_t</vt:lpstr>
      <vt:lpstr>'simple calculator for printing'!potassium_bicarbonate</vt:lpstr>
      <vt:lpstr>potassium_bicarbonate</vt:lpstr>
      <vt:lpstr>calculator!Print_Area</vt:lpstr>
      <vt:lpstr>'simple calculator for printing'!Print_Area</vt:lpstr>
      <vt:lpstr>calculator!sodium_bicarbonate</vt:lpstr>
      <vt:lpstr>'simple calculator for printing'!sodium_bicarbonate</vt:lpstr>
      <vt:lpstr>calculator!sodium_chloride</vt:lpstr>
      <vt:lpstr>'simple calculator for printing'!sodium_chloride</vt:lpstr>
      <vt:lpstr>'simple calculator for printing'!sulfate_p</vt:lpstr>
      <vt:lpstr>sulfate_p</vt:lpstr>
      <vt:lpstr>'simple calculator for printing'!sulfate_t</vt:lpstr>
      <vt:lpstr>sulfate_t</vt:lpstr>
    </vt:vector>
  </TitlesOfParts>
  <Company>OSS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Lersch</dc:creator>
  <cp:lastModifiedBy>Martin</cp:lastModifiedBy>
  <cp:lastPrinted>2011-12-12T22:26:22Z</cp:lastPrinted>
  <dcterms:created xsi:type="dcterms:W3CDTF">2011-01-28T07:28:57Z</dcterms:created>
  <dcterms:modified xsi:type="dcterms:W3CDTF">2015-01-08T21:24:00Z</dcterms:modified>
</cp:coreProperties>
</file>